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16" windowWidth="6555" windowHeight="4155" firstSheet="2" activeTab="10"/>
  </bookViews>
  <sheets>
    <sheet name="３章" sheetId="1" r:id="rId1"/>
    <sheet name="４章" sheetId="2" r:id="rId2"/>
    <sheet name="５章" sheetId="3" r:id="rId3"/>
    <sheet name="6章" sheetId="4" r:id="rId4"/>
    <sheet name="７章" sheetId="5" r:id="rId5"/>
    <sheet name="9章" sheetId="6" r:id="rId6"/>
    <sheet name="10章" sheetId="7" r:id="rId7"/>
    <sheet name="11章" sheetId="8" r:id="rId8"/>
    <sheet name="12章" sheetId="9" r:id="rId9"/>
    <sheet name="統計数値表" sheetId="10" r:id="rId10"/>
    <sheet name="表の作成" sheetId="11" r:id="rId11"/>
    <sheet name="演習問題" sheetId="12" r:id="rId12"/>
    <sheet name="演習問題 (2)" sheetId="13" r:id="rId13"/>
  </sheets>
  <definedNames>
    <definedName name="Fig10_1">'10章'!$A$2:$O$10</definedName>
    <definedName name="Fig10_2">'10章'!$Q$2:$AB$6</definedName>
    <definedName name="Fig11_1">'11章'!$M$2:$S$14</definedName>
    <definedName name="Fig11_2">'11章'!$A$2:$J$23</definedName>
    <definedName name="Fig11_3">'11章'!$A$25:$J$30</definedName>
    <definedName name="Fig11_4">'11章'!$A$32:$N$45</definedName>
    <definedName name="Fig11_5">'11章'!$A$49:$J$55</definedName>
    <definedName name="Fig11_6">'11章'!$A$57:$J$63</definedName>
    <definedName name="Fig12_1">'12章'!$A$2:$G$5</definedName>
    <definedName name="Fig12_2">'12章'!$A$9:$G$12</definedName>
    <definedName name="Fig12_3">'12章'!$O$1:$U$13</definedName>
    <definedName name="Fig12_4">'12章'!$A$16:$H$20</definedName>
    <definedName name="Fig12_5">'12章'!$A$23:$H$26</definedName>
    <definedName name="Fig12_6">'12章'!$O$23:$U$37</definedName>
    <definedName name="Fig12_7">'12章'!$A$30:$H$35</definedName>
    <definedName name="Fig12_8">'12章'!$A$38:$H$42</definedName>
    <definedName name="Fig13_1">'統計数値表'!$A$1:$G$16</definedName>
    <definedName name="Fig13_2">'表の作成'!$A$1:$L$18</definedName>
    <definedName name="Fig13_3">'表の作成'!$M$2:$S$14</definedName>
    <definedName name="Fig3_1">'３章'!$J$2:$O$17</definedName>
    <definedName name="Fig3_2">'３章'!$A$2:$H$11</definedName>
    <definedName name="Fig3_3">'３章'!$A$13:$H$17</definedName>
    <definedName name="Fig3_4">'３章'!$A$19:$H$26</definedName>
    <definedName name="Fig4_1">'４章'!$J$3:$O$17</definedName>
    <definedName name="Fig4_2">'４章'!$A$2:$H$11</definedName>
    <definedName name="Fig4_3">'４章'!$A$13:$H$18</definedName>
    <definedName name="Fig4_4">'４章'!$A$20:$H$36</definedName>
    <definedName name="Fig5_1">'５章'!$P$4:$P$19</definedName>
    <definedName name="Fig5_2">'５章'!$A$2:$H$11</definedName>
    <definedName name="Fig5_3">'５章'!$A$13:$H$17</definedName>
    <definedName name="Fig6_1">'6章'!$O$4:$O$18</definedName>
    <definedName name="Fig6_2">'6章'!$Q$2:$V$19</definedName>
    <definedName name="Fig6_3">'6章'!$A$2:$I$11</definedName>
    <definedName name="Fig6_4">'6章'!$A$13:$I$18</definedName>
    <definedName name="Fig6_5">'6章'!$A$20:$I$26</definedName>
    <definedName name="Fig7_1">'７章'!$A$2:$I$11</definedName>
    <definedName name="Fig7_2">'７章'!$A$13:$I$17</definedName>
    <definedName name="Fig9_1">'9章'!$A$2:$O$12</definedName>
    <definedName name="Fig9_2">'9章'!$A$14:$O$17</definedName>
    <definedName name="solver_adj" localSheetId="2" hidden="1">'５章'!#REF!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'５章'!#REF!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0.95</definedName>
  </definedNames>
  <calcPr fullCalcOnLoad="1"/>
</workbook>
</file>

<file path=xl/sharedStrings.xml><?xml version="1.0" encoding="utf-8"?>
<sst xmlns="http://schemas.openxmlformats.org/spreadsheetml/2006/main" count="831" uniqueCount="427">
  <si>
    <t>α</t>
  </si>
  <si>
    <t>β</t>
  </si>
  <si>
    <t>ｎ</t>
  </si>
  <si>
    <t>Δ</t>
  </si>
  <si>
    <t>α＝</t>
  </si>
  <si>
    <t>n</t>
  </si>
  <si>
    <t>図3.3</t>
  </si>
  <si>
    <t>表3.1</t>
  </si>
  <si>
    <t>表4.1</t>
  </si>
  <si>
    <t>表4.2</t>
  </si>
  <si>
    <t>図4.2</t>
  </si>
  <si>
    <t>図4.3</t>
  </si>
  <si>
    <t>表4.3</t>
  </si>
  <si>
    <t>図4.4</t>
  </si>
  <si>
    <t>n'</t>
  </si>
  <si>
    <t xml:space="preserve">H0: σ^2＝σ0^2,　H1:　σ^2≠σ0^2 </t>
  </si>
  <si>
    <t xml:space="preserve">H0: σ^2＝σ0^2,　H1:　σ^2&gt;σ0^2 </t>
  </si>
  <si>
    <t xml:space="preserve">H0: σ^2＝σ0^2,　H1:　σ^2&lt;σ0^2 </t>
  </si>
  <si>
    <t>α＝</t>
  </si>
  <si>
    <t>n</t>
  </si>
  <si>
    <t>表3.2</t>
  </si>
  <si>
    <t>図3.4</t>
  </si>
  <si>
    <t>上側確率</t>
  </si>
  <si>
    <t>確率密度</t>
  </si>
  <si>
    <t>図5.3</t>
  </si>
  <si>
    <t>表5.2</t>
  </si>
  <si>
    <t>表5.1</t>
  </si>
  <si>
    <t>図5.2</t>
  </si>
  <si>
    <t>ｎ</t>
  </si>
  <si>
    <t>両側</t>
  </si>
  <si>
    <t>1-β</t>
  </si>
  <si>
    <t>式(4.20)</t>
  </si>
  <si>
    <t>式(4.21)</t>
  </si>
  <si>
    <t>上側</t>
  </si>
  <si>
    <t>下側</t>
  </si>
  <si>
    <t>D4</t>
  </si>
  <si>
    <t>E4</t>
  </si>
  <si>
    <t>F4</t>
  </si>
  <si>
    <t>=NTDIST(TINV(B5*2,A5-1),A5-1,-C5*SQRT(A5))</t>
  </si>
  <si>
    <t>=NTDIST(TINV(B5*2,A5-1),A5-1,C5*SQRT(A5))</t>
  </si>
  <si>
    <t>=NTDIST(TINV(B5,A5-1),A5-1,C5*SQRT(A5))</t>
  </si>
  <si>
    <t xml:space="preserve">    +NTDIST(TINV(B5,A5-1),A5-1,-C5*SQRT(A5))</t>
  </si>
  <si>
    <t>自由度</t>
  </si>
  <si>
    <t>x</t>
  </si>
  <si>
    <t>　左の自由度と上側確率の値を修正すると，</t>
  </si>
  <si>
    <t>同時に下のχ2乗分布の形が変わる．</t>
  </si>
  <si>
    <t>t分布と非心ｔ分布</t>
  </si>
  <si>
    <t>ｔ</t>
  </si>
  <si>
    <t>　左の自由度と非心度を変更すると，下のグラフも</t>
  </si>
  <si>
    <t>自動的に変化する．</t>
  </si>
  <si>
    <t>α＝</t>
  </si>
  <si>
    <t>n</t>
  </si>
  <si>
    <t>Δ</t>
  </si>
  <si>
    <t>⊿</t>
  </si>
  <si>
    <t>α(片側)</t>
  </si>
  <si>
    <t>図3.1</t>
  </si>
  <si>
    <t>図3.2</t>
  </si>
  <si>
    <t>1-β</t>
  </si>
  <si>
    <t>片側</t>
  </si>
  <si>
    <t>間隔</t>
  </si>
  <si>
    <t>eps</t>
  </si>
  <si>
    <t>χ2(α)</t>
  </si>
  <si>
    <t>⊿^2</t>
  </si>
  <si>
    <t>式(4.18,4.19)</t>
  </si>
  <si>
    <t>1-β</t>
  </si>
  <si>
    <t>n1</t>
  </si>
  <si>
    <t>n2</t>
  </si>
  <si>
    <t>α</t>
  </si>
  <si>
    <t>⊿</t>
  </si>
  <si>
    <t>=FDIST(FINV($C4/2,$A4-1,$B4-1)/$D4^2,$A4-1,$B4-1)</t>
  </si>
  <si>
    <t xml:space="preserve">  +1-FDIST(FINV(1-$C4/2,$A4-1,$B4-1)/$D4^2,$A4-1,$B4-2)</t>
  </si>
  <si>
    <t>=FDIST(FINV($C4,$A4-1,$B4-1)/$D4^2,$A4-1,$B4-1)</t>
  </si>
  <si>
    <t>=1-FDIST(FINV(1-$C4,$A4-1,$B4-1)/$D4^2,$A4-1,$B4-1)</t>
  </si>
  <si>
    <t>E4</t>
  </si>
  <si>
    <t>F4</t>
  </si>
  <si>
    <t>G4</t>
  </si>
  <si>
    <t>=NTDIST(TINV(C4*2,A4+B4-2),A4+B4-2,-D4*SQRT(A4*B4/(A4+B4)))</t>
  </si>
  <si>
    <t>=NTDIST(TINV(C4*2,A4+B4-2),A4+B4-2,D4*SQRT(A4*B4/(A4+B4)))</t>
  </si>
  <si>
    <t>例3.3(p.34)</t>
  </si>
  <si>
    <t>例3.5(p.36)</t>
  </si>
  <si>
    <t>例3.7(p.38)</t>
  </si>
  <si>
    <t>例3.9(p.40)</t>
  </si>
  <si>
    <t>例3.10(p.40)</t>
  </si>
  <si>
    <t>例3.11(p.41)</t>
  </si>
  <si>
    <t>例4.1(p.47)</t>
  </si>
  <si>
    <t>例4.3(p.49)</t>
  </si>
  <si>
    <t>例4.5(p.51)</t>
  </si>
  <si>
    <t>例4.7(p.53)</t>
  </si>
  <si>
    <t>例4.8(p.54)</t>
  </si>
  <si>
    <t>例4.9(p.55)</t>
  </si>
  <si>
    <t>D4</t>
  </si>
  <si>
    <t>E4</t>
  </si>
  <si>
    <t>F4</t>
  </si>
  <si>
    <t>D15</t>
  </si>
  <si>
    <t>E15</t>
  </si>
  <si>
    <t>=1-CHIDIST(CHIINV(1-$B4,$A4-1)/$C4^2,$A4-1)</t>
  </si>
  <si>
    <t>=CHIDIST(CHIINV($B4,$A4-1)/$C4^2,$A4-1)</t>
  </si>
  <si>
    <t>D15</t>
  </si>
  <si>
    <t>=0.5*((NORMSINV(1-A15/2)+C15*NORMSINV(1-B15))/(C15-1))^2+1.5</t>
  </si>
  <si>
    <t>=0.5*((NORMSINV(1-A17/2)+C17*NORMSINV(1-B17))/(C17-1))^2+1.5</t>
  </si>
  <si>
    <t>D17</t>
  </si>
  <si>
    <t>D20</t>
  </si>
  <si>
    <t>D23</t>
  </si>
  <si>
    <t>=0.5*((NORMSINV(1-A20)+C20*NORMSINV(1-B20))/(C20-1))^2+1.5</t>
  </si>
  <si>
    <t>=0.5*((NORMSINV(1-A23)+C23*NORMSINV(1-B23))/(C23-1))^2+1.5</t>
  </si>
  <si>
    <t>下側</t>
  </si>
  <si>
    <t>例5.1(p.69)</t>
  </si>
  <si>
    <t>例5.3(p.71)</t>
  </si>
  <si>
    <t>例5.5(p.73)</t>
  </si>
  <si>
    <t>例5.8(p.76)</t>
  </si>
  <si>
    <t>例5.9(p.77)</t>
  </si>
  <si>
    <t>例5.7(p.75)</t>
  </si>
  <si>
    <t>n2</t>
  </si>
  <si>
    <t>⊿</t>
  </si>
  <si>
    <t>eps</t>
  </si>
  <si>
    <t>H0</t>
  </si>
  <si>
    <t>H1</t>
  </si>
  <si>
    <t>H2</t>
  </si>
  <si>
    <t>φ1</t>
  </si>
  <si>
    <t>φ2</t>
  </si>
  <si>
    <t>（１）</t>
  </si>
  <si>
    <t>（２）</t>
  </si>
  <si>
    <t>（３）</t>
  </si>
  <si>
    <t>（４）</t>
  </si>
  <si>
    <t>（５）</t>
  </si>
  <si>
    <t>非心パラメータ</t>
  </si>
  <si>
    <t>F4</t>
  </si>
  <si>
    <t>G4</t>
  </si>
  <si>
    <t>例6.3(p.92)</t>
  </si>
  <si>
    <t>例6.5(p.94)</t>
  </si>
  <si>
    <t>例6.1(p.91)</t>
  </si>
  <si>
    <t>例6.8(p.97)</t>
  </si>
  <si>
    <t>例6.9(p.98)</t>
  </si>
  <si>
    <t>例6.7(p.96)</t>
  </si>
  <si>
    <t>統計数値表</t>
  </si>
  <si>
    <t>下の表の黒枠内に入力する．</t>
  </si>
  <si>
    <t>分布</t>
  </si>
  <si>
    <t>x</t>
  </si>
  <si>
    <t>自由度</t>
  </si>
  <si>
    <t>下側確率</t>
  </si>
  <si>
    <t>両側確率</t>
  </si>
  <si>
    <t>上側確率</t>
  </si>
  <si>
    <t>標準正規分布</t>
  </si>
  <si>
    <t>カイ２乗分布</t>
  </si>
  <si>
    <t>ｔ分布</t>
  </si>
  <si>
    <t>Ｆ分布</t>
  </si>
  <si>
    <t>入力する確率は0.50以下</t>
  </si>
  <si>
    <t>自由度1</t>
  </si>
  <si>
    <t>自由度2</t>
  </si>
  <si>
    <t>自由度を修正すると，自動的にグラフが変化する．</t>
  </si>
  <si>
    <t>μ1</t>
  </si>
  <si>
    <t>μ2</t>
  </si>
  <si>
    <t>μ3</t>
  </si>
  <si>
    <t>μ4</t>
  </si>
  <si>
    <t>μ5</t>
  </si>
  <si>
    <t>λ</t>
  </si>
  <si>
    <t>k</t>
  </si>
  <si>
    <t>n</t>
  </si>
  <si>
    <t>d</t>
  </si>
  <si>
    <t>σ0</t>
  </si>
  <si>
    <t>例9.1(p.133)</t>
  </si>
  <si>
    <t>例9.2(p.134)</t>
  </si>
  <si>
    <t>例9.4(p.138)</t>
  </si>
  <si>
    <t>例9.5(p.139)</t>
  </si>
  <si>
    <t>例10.1(p.151)</t>
  </si>
  <si>
    <t>例10.2(p.152)</t>
  </si>
  <si>
    <t>例10.4(p.157)</t>
  </si>
  <si>
    <t>例10.5(p.139)</t>
  </si>
  <si>
    <t>S</t>
  </si>
  <si>
    <t>F3:</t>
  </si>
  <si>
    <t>=DEVSQ(A3:E3)</t>
  </si>
  <si>
    <t>F6:</t>
  </si>
  <si>
    <t>=E6^2/2</t>
  </si>
  <si>
    <t>=Ncdist(CHIINV(G3,H3-1),H3-1,L3)</t>
  </si>
  <si>
    <t>K3:</t>
  </si>
  <si>
    <t>L3:</t>
  </si>
  <si>
    <t>M3:</t>
  </si>
  <si>
    <t>=F3/J3^2</t>
  </si>
  <si>
    <t>=I3*K3</t>
  </si>
  <si>
    <t>=NFDIST(FINV(G3,H3-1,H3*(I3-1)),H3-1,H3*(I3-1),L3)</t>
  </si>
  <si>
    <t>σ未知</t>
  </si>
  <si>
    <t>σ既知</t>
  </si>
  <si>
    <t>k</t>
  </si>
  <si>
    <t>S/d^2</t>
  </si>
  <si>
    <t>Δ</t>
  </si>
  <si>
    <t>=1-NORMSDIST(NORMSINV(1-B4)-C4*SQRT(A4))</t>
  </si>
  <si>
    <t>=NORMSDIST(-NORMSINV(1-B4)-C4*SQRT(A4))</t>
  </si>
  <si>
    <t>=NORMSDIST(-NORMSINV(1-B4/2)-C4*SQRT(A4))</t>
  </si>
  <si>
    <t xml:space="preserve"> +1-NORMSDIST(NORMSINV(1-B4/2)-C4*SQRT(A4))</t>
  </si>
  <si>
    <t>=ROUNDUP(((NORMSINV(1-A21)+NORMSINV(1-B21))/C21)^2,0)</t>
  </si>
  <si>
    <t>=ROUNDUP(((NORMSINV(1-A21/2)+NORMSINV(1-B21))/C21)^2,0)</t>
  </si>
  <si>
    <t xml:space="preserve"> +CHIDIST(CHIINV($B4/2,$A4-1)/$C4^2,$A4-2)</t>
  </si>
  <si>
    <t>=1-CHIDIST(CHIINV(1-$B4/2,$A4-1)/$C4^2,$A4-1)</t>
  </si>
  <si>
    <t>Δ</t>
  </si>
  <si>
    <t>=NTDIST(TINV(C4,A4+B4-2),A4+B4-2,D4*SQRT(A4*B4/(A4+B4)))</t>
  </si>
  <si>
    <t xml:space="preserve"> +NTDIST(TINV(C4,A4+B4-2),A4+B4-2,-D4*SQRT(A4*B4/(A4+B5)))</t>
  </si>
  <si>
    <t>例7.1(p.108)</t>
  </si>
  <si>
    <t>例7.3(p.110)</t>
  </si>
  <si>
    <t>例7.5(p.112)</t>
  </si>
  <si>
    <t>例7.7(p.114)</t>
  </si>
  <si>
    <t>例7.8(p.115)</t>
  </si>
  <si>
    <t>例7.9(p.115)</t>
  </si>
  <si>
    <t>補遺</t>
  </si>
  <si>
    <t>F8:</t>
  </si>
  <si>
    <t>=H8*(H8+1)/(12*(H8-1))*E8^2</t>
  </si>
  <si>
    <t>下</t>
  </si>
  <si>
    <t>上</t>
  </si>
  <si>
    <t>§3</t>
  </si>
  <si>
    <t>演習3.5(1)</t>
  </si>
  <si>
    <t>演習3.5(2)</t>
  </si>
  <si>
    <t>演習3.6(1)</t>
  </si>
  <si>
    <t>演習3.6(2)</t>
  </si>
  <si>
    <t>演習3.7(1)</t>
  </si>
  <si>
    <t>演習3.7(2)</t>
  </si>
  <si>
    <t>§4</t>
  </si>
  <si>
    <t>演習3.8(1)</t>
  </si>
  <si>
    <t>演習3.8(2)</t>
  </si>
  <si>
    <t>演習3.9(1)</t>
  </si>
  <si>
    <t>演習3.9(2)</t>
  </si>
  <si>
    <t>演習3.10(1)</t>
  </si>
  <si>
    <t>演習3.10(2)</t>
  </si>
  <si>
    <t>演習4.4(1)</t>
  </si>
  <si>
    <t>演習4.4(2)</t>
  </si>
  <si>
    <t>演習4.5(1)</t>
  </si>
  <si>
    <t>演習4.5(2)</t>
  </si>
  <si>
    <t>演習4.6(1)</t>
  </si>
  <si>
    <t>演習4.6(2)</t>
  </si>
  <si>
    <t>演習4.7(1)</t>
  </si>
  <si>
    <t>演習4.7(2)</t>
  </si>
  <si>
    <t>演習4.8(1)</t>
  </si>
  <si>
    <t>演習4.8(2)</t>
  </si>
  <si>
    <t>演習4.9(1)</t>
  </si>
  <si>
    <t>演習4.9(2)</t>
  </si>
  <si>
    <t>§5</t>
  </si>
  <si>
    <t>演習5.4(1)</t>
  </si>
  <si>
    <t>演習5.4(2)</t>
  </si>
  <si>
    <t>演習5.5(1)</t>
  </si>
  <si>
    <t>演習5.5(2)</t>
  </si>
  <si>
    <t>演習5.6(1)</t>
  </si>
  <si>
    <t>演習5.6(2)</t>
  </si>
  <si>
    <t>§6</t>
  </si>
  <si>
    <t>演習5.7(1)</t>
  </si>
  <si>
    <t>演習5.7(2)</t>
  </si>
  <si>
    <t>演習5.8(1)</t>
  </si>
  <si>
    <t>演習5.8(2)</t>
  </si>
  <si>
    <t>演習5.9(1)</t>
  </si>
  <si>
    <t>演習5.9(2)</t>
  </si>
  <si>
    <t>演習6.4(1)</t>
  </si>
  <si>
    <t>演習6.4(2)</t>
  </si>
  <si>
    <t>演習6.5(1)</t>
  </si>
  <si>
    <t>演習6.5(2)</t>
  </si>
  <si>
    <t>演習6.6(1)</t>
  </si>
  <si>
    <t>演習6.6(2)</t>
  </si>
  <si>
    <t>演習6.7(1)</t>
  </si>
  <si>
    <t>演習6.7(2)</t>
  </si>
  <si>
    <t>演習6.8(1)</t>
  </si>
  <si>
    <t>演習6.9(1)</t>
  </si>
  <si>
    <t>演習6.8(2)</t>
  </si>
  <si>
    <t>演習6.9(2)</t>
  </si>
  <si>
    <t>§7</t>
  </si>
  <si>
    <t>演習7.4(1)</t>
  </si>
  <si>
    <t>演習7.4(2)</t>
  </si>
  <si>
    <t>演習7.5(1)</t>
  </si>
  <si>
    <t>演習7.5(2)</t>
  </si>
  <si>
    <t>演習7.6(1)</t>
  </si>
  <si>
    <t>演習7.6(2)</t>
  </si>
  <si>
    <t>演習7.7(1)</t>
  </si>
  <si>
    <t>演習7.7(2)</t>
  </si>
  <si>
    <t>演習7.8(1)</t>
  </si>
  <si>
    <t>演習7.8(2)</t>
  </si>
  <si>
    <t>演習7.9(1)</t>
  </si>
  <si>
    <t>演習7.9(2)</t>
  </si>
  <si>
    <t>μ</t>
  </si>
  <si>
    <t>演習9.3</t>
  </si>
  <si>
    <t>演習9.4(1)</t>
  </si>
  <si>
    <t>演習9.4(2)</t>
  </si>
  <si>
    <t>演習9.5(1)</t>
  </si>
  <si>
    <t>演習9.5(2)</t>
  </si>
  <si>
    <t>演習9.6(1)</t>
  </si>
  <si>
    <t>演習9.7(1)</t>
  </si>
  <si>
    <t>演習9.7(2)</t>
  </si>
  <si>
    <t>演習9.6(2)</t>
  </si>
  <si>
    <t>§9</t>
  </si>
  <si>
    <t>§10</t>
  </si>
  <si>
    <t>k</t>
  </si>
  <si>
    <t>λ</t>
  </si>
  <si>
    <t>μ</t>
  </si>
  <si>
    <t>下側累積確率</t>
  </si>
  <si>
    <t>上側累積確率</t>
  </si>
  <si>
    <t>下限</t>
  </si>
  <si>
    <t>F4:</t>
  </si>
  <si>
    <t>上限</t>
  </si>
  <si>
    <t>１－β</t>
  </si>
  <si>
    <t>ｎ</t>
  </si>
  <si>
    <t>α</t>
  </si>
  <si>
    <t>n</t>
  </si>
  <si>
    <t>α</t>
  </si>
  <si>
    <t>E4:</t>
  </si>
  <si>
    <t>=IF(BINOMDIST($A4,$A4,$C4,FALSE)&gt;$B4,0,</t>
  </si>
  <si>
    <t>F4:</t>
  </si>
  <si>
    <t>=IF(BINOMDIST(0,$A4,$C4,FALSE)&gt;$B4,0,</t>
  </si>
  <si>
    <t>G4:</t>
  </si>
  <si>
    <t>N7:</t>
  </si>
  <si>
    <t>=Bin_L(N4,N3,N5)</t>
  </si>
  <si>
    <t>N8:</t>
  </si>
  <si>
    <t>=Bin_U(N4,N3,N5)</t>
  </si>
  <si>
    <t>Q3:</t>
  </si>
  <si>
    <t>=BINOMDIST(P3,$N$4,$N$3,TRUE)</t>
  </si>
  <si>
    <t>R4:</t>
  </si>
  <si>
    <t>=1-BINOMDIST(P4-1,$N$4,$N$3,TRUE)</t>
  </si>
  <si>
    <t>１－β</t>
  </si>
  <si>
    <t>ｎ</t>
  </si>
  <si>
    <t>Sxx</t>
  </si>
  <si>
    <t>例11.3,p.172</t>
  </si>
  <si>
    <t>E4:</t>
  </si>
  <si>
    <t>=NTDIST(TINV($B4*2,$A4-2),$A4-2,SQRT($C4)*$D4)</t>
  </si>
  <si>
    <t>=NTDIST(TINV($B4,$A4-2),$A4-2,SQRT($C4)*$D4)</t>
  </si>
  <si>
    <t>例11.4,p.173</t>
  </si>
  <si>
    <t>演習11.6(1)</t>
  </si>
  <si>
    <t>演習11.6(2)</t>
  </si>
  <si>
    <t>§12.1</t>
  </si>
  <si>
    <t>σ</t>
  </si>
  <si>
    <t>信頼幅</t>
  </si>
  <si>
    <t>例12.1,p.183</t>
  </si>
  <si>
    <t>§12.2</t>
  </si>
  <si>
    <t>信頼限界比</t>
  </si>
  <si>
    <t>例12.2,p.186</t>
  </si>
  <si>
    <t>§12.3</t>
  </si>
  <si>
    <t>例12.3,p.189</t>
  </si>
  <si>
    <t>§12.4</t>
  </si>
  <si>
    <t>例12.4,p.191</t>
  </si>
  <si>
    <t>例12.5,p.193</t>
  </si>
  <si>
    <t>例12.6,p.195</t>
  </si>
  <si>
    <t>§12.1</t>
  </si>
  <si>
    <t>n</t>
  </si>
  <si>
    <t>α</t>
  </si>
  <si>
    <t>σ</t>
  </si>
  <si>
    <t>D3:</t>
  </si>
  <si>
    <t>=2*NORMSINV(1-B3/2)*C3/SQRT(A3)</t>
  </si>
  <si>
    <t>§12.2</t>
  </si>
  <si>
    <t>n</t>
  </si>
  <si>
    <t>α</t>
  </si>
  <si>
    <t>D10:</t>
  </si>
  <si>
    <t>=CHIINV(B10/2,A10-1)/CHIINV(1-B10/2,A10-1)</t>
  </si>
  <si>
    <t>§12.3</t>
  </si>
  <si>
    <t>σ</t>
  </si>
  <si>
    <t>D17:</t>
  </si>
  <si>
    <t>=2*TINV(B17,A17-1)*C17/SQRT(A17)</t>
  </si>
  <si>
    <t>§12.4</t>
  </si>
  <si>
    <t>D24:</t>
  </si>
  <si>
    <t>§12.5</t>
  </si>
  <si>
    <t>D31:</t>
  </si>
  <si>
    <t>=2*TINV(B31,2*(A31-1))*C31/SQRT(A31/2)</t>
  </si>
  <si>
    <t>§12.6</t>
  </si>
  <si>
    <t>E38:</t>
  </si>
  <si>
    <t>§11.1</t>
  </si>
  <si>
    <t>１－β</t>
  </si>
  <si>
    <t>ｎ</t>
  </si>
  <si>
    <t>α</t>
  </si>
  <si>
    <t>演習11.2(1)</t>
  </si>
  <si>
    <t>演習11.2(2)</t>
  </si>
  <si>
    <t>演習11.3(1)</t>
  </si>
  <si>
    <t>演習11.3(2)</t>
  </si>
  <si>
    <t>§11.2</t>
  </si>
  <si>
    <t>演習11.5(1)</t>
  </si>
  <si>
    <t>演習11.5(2)</t>
  </si>
  <si>
    <t>演習12.2</t>
  </si>
  <si>
    <t>演習12.4</t>
  </si>
  <si>
    <t>演習12.7</t>
  </si>
  <si>
    <t>演習12.10</t>
  </si>
  <si>
    <t>§12.5</t>
  </si>
  <si>
    <t>演習12.12</t>
  </si>
  <si>
    <t>§12.6</t>
  </si>
  <si>
    <t>演習12.14</t>
  </si>
  <si>
    <t>p0</t>
  </si>
  <si>
    <t>p</t>
  </si>
  <si>
    <t>p</t>
  </si>
  <si>
    <t>x</t>
  </si>
  <si>
    <t>P0</t>
  </si>
  <si>
    <t>P</t>
  </si>
  <si>
    <t>例11.1,p.167</t>
  </si>
  <si>
    <t>例11.2,p.168</t>
  </si>
  <si>
    <t>等間隔</t>
  </si>
  <si>
    <t>3点</t>
  </si>
  <si>
    <t>σx</t>
  </si>
  <si>
    <t>変量</t>
  </si>
  <si>
    <t xml:space="preserve">  +1-NTDIST(-TINV($B40,$A40-2),$A40-2,SQRT($C40)*$D40)</t>
  </si>
  <si>
    <t>初期値</t>
  </si>
  <si>
    <t>１つの母平均の区間推定に基づくサンプルサイズの設計方法（母分散が既知の場合）</t>
  </si>
  <si>
    <t>１つの母分散の区間推定に基づくサンプルサイズの設計方法</t>
  </si>
  <si>
    <t>１つの母平均の区間推定に基づくサンプルサイズの設計方法（母分散が未知の場合）</t>
  </si>
  <si>
    <t>２つの母分散の比の区間推定に基づくサンプルサイズの設計方法</t>
  </si>
  <si>
    <t>２つの母平均の差の区間推定に基づくサンプルサイズの設計方法</t>
  </si>
  <si>
    <t>対応のある場合の母平均の差の区間推定に基づくサンプルサイズの設計方法</t>
  </si>
  <si>
    <t>φ</t>
  </si>
  <si>
    <t>ｃ＊</t>
  </si>
  <si>
    <t>J16:</t>
  </si>
  <si>
    <t>=SQRT(2/I16)*EXP(GAMMALN((I16+1)/2)-GAMMALN(I16/2))</t>
  </si>
  <si>
    <t>=FINV(B24/2,A24-1,A24-1)/FINV(1-B24/2,A24-1,A24-1)</t>
  </si>
  <si>
    <t xml:space="preserve">   *SQRT(2/(2*(A31-1)))*EXP(GAMMALN((2*(A31-1)+1)/2)</t>
  </si>
  <si>
    <t xml:space="preserve">   *SQRT(2/(A39-1))*EXP(GAMMALN((A39)/2)-GAMMALN((A39-1)/2))</t>
  </si>
  <si>
    <t>=2*TINV(B39,A39-1)*C39/SQRT(A39)</t>
  </si>
  <si>
    <t xml:space="preserve">   -GAMMALN((2*(A31-1))/2))</t>
  </si>
  <si>
    <t xml:space="preserve">   *SQRT(2/(A17-1))*EXP(GAMMALN((A17)/2)-GAMMALN((A17-1)/2))</t>
  </si>
  <si>
    <t>E5:</t>
  </si>
  <si>
    <t>F5:</t>
  </si>
  <si>
    <t>G5:</t>
  </si>
  <si>
    <t xml:space="preserve">  1-BINOMDIST(Bin_U($A4,$C4,$B4),$A4,$D4,TRUE))</t>
  </si>
  <si>
    <t xml:space="preserve">  BINOMDIST(Bin_L($A4,$C4,$B4),$A4,$D4,TRUE))</t>
  </si>
  <si>
    <t>=IF(BINOMDIST(0,$A4,$C4,FALSE)&gt;$B4/2,0,</t>
  </si>
  <si>
    <t xml:space="preserve">  BINOMDIST(Bin_L($A4,$C4,$B4/2),$A4,$D4,TRUE))</t>
  </si>
  <si>
    <t>+IF(BINOMDIST($A4,$A4,$C4,FALSE)&gt;$B4/2,0,</t>
  </si>
  <si>
    <t xml:space="preserve">  1-BINOMDIST(Bin_U($A4,$C4,$B4/2)-1,$A4,$D4,TRUE))</t>
  </si>
  <si>
    <t>NORMSDIST((($D5-$C5)-NORMSINV(1-$B5)</t>
  </si>
  <si>
    <t xml:space="preserve">  *SQRT($C5*(1-$C5)/$A5))/SQRT($D5*(1-$D5)/$A5))</t>
  </si>
  <si>
    <t>=1-NORMSDIST((($D5-$C5)+NORMSINV(1-$B5)</t>
  </si>
  <si>
    <t>NORMSDIST((($D5-$C5)-NORMSINV(1-$B5/2)</t>
  </si>
  <si>
    <t xml:space="preserve">  +1-NORMSDIST((($D5-$C5)+NORMSINV(1-$B5/2)</t>
  </si>
  <si>
    <t>1つの母平均の検定 --- 母分散が既知の場合</t>
  </si>
  <si>
    <t>1つの母分散の検定</t>
  </si>
  <si>
    <t>1つの母平均の検定 --- 母分散が未知の場合</t>
  </si>
  <si>
    <t>２つの母分散の比の検定</t>
  </si>
  <si>
    <t>２つの平均値の差の検定</t>
  </si>
  <si>
    <t>１元配置分散分析 --- 誤差分散が既知の場合</t>
  </si>
  <si>
    <t>１元配置分散分析 --- 誤差分散が未知の場合</t>
  </si>
  <si>
    <t>母不良率の検定</t>
  </si>
  <si>
    <t>回帰係数の検定</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</si>
</sst>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E+00"/>
    <numFmt numFmtId="179" formatCode="0.000E+00"/>
    <numFmt numFmtId="180" formatCode="0.000_ "/>
    <numFmt numFmtId="181" formatCode="0.0E+00"/>
    <numFmt numFmtId="182" formatCode="0.0000"/>
    <numFmt numFmtId="183" formatCode="0.00000"/>
    <numFmt numFmtId="184" formatCode="0.00000000"/>
    <numFmt numFmtId="185" formatCode="0.0000000"/>
    <numFmt numFmtId="186" formatCode="0.000000"/>
    <numFmt numFmtId="187" formatCode="0.000_);[Red]\(0.000\)"/>
    <numFmt numFmtId="188" formatCode="0.000000000000000_);[Red]\(0.000000000000000\)"/>
    <numFmt numFmtId="189" formatCode="0.0_ "/>
    <numFmt numFmtId="190" formatCode="0.00_);[Red]\(0.00\)"/>
    <numFmt numFmtId="191" formatCode="0.000000000"/>
    <numFmt numFmtId="192" formatCode="0.0000000000"/>
    <numFmt numFmtId="193" formatCode="0E+00"/>
    <numFmt numFmtId="194" formatCode="0.00000E+00"/>
    <numFmt numFmtId="195" formatCode="0_ "/>
    <numFmt numFmtId="196" formatCode="0.0_);[Red]\(0.0\)"/>
    <numFmt numFmtId="197" formatCode="0.000000000000_);[Red]\(0.000000000000\)"/>
    <numFmt numFmtId="198" formatCode="0.0000_);[Red]\(0.0000\)"/>
    <numFmt numFmtId="199" formatCode="0.0000000000000000_);[Red]\(0.0000000000000000\)"/>
    <numFmt numFmtId="200" formatCode="0.00000000000000_);[Red]\(0.00000000000000\)"/>
    <numFmt numFmtId="201" formatCode="0.0000000000000_);[Red]\(0.0000000000000\)"/>
    <numFmt numFmtId="202" formatCode="0.00000000000_);[Red]\(0.00000000000\)"/>
    <numFmt numFmtId="203" formatCode="0.0000000000_);[Red]\(0.0000000000\)"/>
    <numFmt numFmtId="204" formatCode="0.000000000_);[Red]\(0.000000000\)"/>
    <numFmt numFmtId="205" formatCode="0.00000000_);[Red]\(0.00000000\)"/>
    <numFmt numFmtId="206" formatCode="0.0000000_);[Red]\(0.0000000\)"/>
    <numFmt numFmtId="207" formatCode="0.000000_);[Red]\(0.000000\)"/>
    <numFmt numFmtId="208" formatCode="0.00000_);[Red]\(0.00000\)"/>
    <numFmt numFmtId="209" formatCode="0.00_ "/>
    <numFmt numFmtId="210" formatCode="&quot;Yes&quot;;&quot;Yes&quot;;&quot;No&quot;"/>
    <numFmt numFmtId="211" formatCode="&quot;True&quot;;&quot;True&quot;;&quot;False&quot;"/>
    <numFmt numFmtId="212" formatCode="&quot;On&quot;;&quot;On&quot;;&quot;Off&quot;"/>
    <numFmt numFmtId="213" formatCode="0.0000_ "/>
    <numFmt numFmtId="214" formatCode="0.000000000000000"/>
    <numFmt numFmtId="215" formatCode="0.00000000000"/>
    <numFmt numFmtId="216" formatCode="0.0000000000000000"/>
    <numFmt numFmtId="217" formatCode="#,##0.000;[Red]\-#,##0.000"/>
    <numFmt numFmtId="218" formatCode="0.00000000000_ "/>
    <numFmt numFmtId="219" formatCode="0.00000000000000_ "/>
    <numFmt numFmtId="220" formatCode="0.00000000000000000_);[Red]\(0.00000000000000000\)"/>
    <numFmt numFmtId="221" formatCode="0.000000000000000000_);[Red]\(0.000000000000000000\)"/>
    <numFmt numFmtId="222" formatCode="0.00000_ "/>
    <numFmt numFmtId="223" formatCode="0.000000_ "/>
    <numFmt numFmtId="224" formatCode="0.0000000_ "/>
    <numFmt numFmtId="225" formatCode="0.00000000_ "/>
    <numFmt numFmtId="226" formatCode="0.000000000_ "/>
    <numFmt numFmtId="227" formatCode="0.000000000000"/>
    <numFmt numFmtId="228" formatCode="0.0000000000000"/>
    <numFmt numFmtId="229" formatCode="0.00000000000000"/>
    <numFmt numFmtId="230" formatCode="0.00000000000000000"/>
    <numFmt numFmtId="231" formatCode="0.000000000000000000"/>
    <numFmt numFmtId="232" formatCode="0.0000000000000000000"/>
    <numFmt numFmtId="233" formatCode="0.00000000000000000000"/>
    <numFmt numFmtId="234" formatCode="0.000000000000000000000"/>
    <numFmt numFmtId="235" formatCode="0.0000000000000000000000"/>
    <numFmt numFmtId="236" formatCode="0.00000000000000000000000"/>
    <numFmt numFmtId="237" formatCode="0.000000000000000000000000"/>
    <numFmt numFmtId="238" formatCode="0.0000000000000000000000000"/>
  </numFmts>
  <fonts count="27">
    <font>
      <sz val="11"/>
      <name val="ＭＳ 明朝"/>
      <family val="0"/>
    </font>
    <font>
      <sz val="6"/>
      <name val="ＭＳ 明朝"/>
      <family val="1"/>
    </font>
    <font>
      <sz val="10"/>
      <name val="ＭＳ Ｐゴシック"/>
      <family val="3"/>
    </font>
    <font>
      <u val="single"/>
      <sz val="11"/>
      <color indexed="12"/>
      <name val="ＭＳ 明朝"/>
      <family val="1"/>
    </font>
    <font>
      <u val="single"/>
      <sz val="11"/>
      <color indexed="36"/>
      <name val="ＭＳ 明朝"/>
      <family val="1"/>
    </font>
    <font>
      <sz val="10"/>
      <name val="ＭＳ 明朝"/>
      <family val="1"/>
    </font>
    <font>
      <sz val="8"/>
      <name val="ＭＳ 明朝"/>
      <family val="1"/>
    </font>
    <font>
      <sz val="2.75"/>
      <name val="ＭＳ Ｐゴシック"/>
      <family val="3"/>
    </font>
    <font>
      <sz val="8"/>
      <name val="ＭＳ Ｐゴシック"/>
      <family val="3"/>
    </font>
    <font>
      <sz val="9"/>
      <name val="ＭＳ Ｐゴシック"/>
      <family val="3"/>
    </font>
    <font>
      <sz val="9.5"/>
      <name val="ＭＳ Ｐゴシック"/>
      <family val="3"/>
    </font>
    <font>
      <sz val="3.25"/>
      <name val="ＭＳ Ｐゴシック"/>
      <family val="3"/>
    </font>
    <font>
      <sz val="3.5"/>
      <name val="ＭＳ Ｐゴシック"/>
      <family val="3"/>
    </font>
    <font>
      <sz val="3.75"/>
      <name val="ＭＳ Ｐゴシック"/>
      <family val="3"/>
    </font>
    <font>
      <sz val="3"/>
      <name val="ＭＳ Ｐゴシック"/>
      <family val="3"/>
    </font>
    <font>
      <b/>
      <sz val="11"/>
      <name val="ＭＳ 明朝"/>
      <family val="0"/>
    </font>
    <font>
      <sz val="8.25"/>
      <name val="ＭＳ 明朝"/>
      <family val="1"/>
    </font>
    <font>
      <sz val="8.75"/>
      <name val="ＭＳ 明朝"/>
      <family val="1"/>
    </font>
    <font>
      <sz val="14"/>
      <name val="ＭＳ Ｐゴシック"/>
      <family val="3"/>
    </font>
    <font>
      <sz val="11"/>
      <name val="ＭＳ Ｐゴシック"/>
      <family val="3"/>
    </font>
    <font>
      <sz val="12"/>
      <name val="ＭＳ Ｐゴシック"/>
      <family val="3"/>
    </font>
    <font>
      <sz val="12"/>
      <name val="Osaka"/>
      <family val="3"/>
    </font>
    <font>
      <sz val="11.75"/>
      <name val="ＭＳ 明朝"/>
      <family val="1"/>
    </font>
    <font>
      <sz val="11"/>
      <color indexed="10"/>
      <name val="ＭＳ 明朝"/>
      <family val="1"/>
    </font>
    <font>
      <sz val="5.5"/>
      <name val="ＭＳ 明朝"/>
      <family val="1"/>
    </font>
    <font>
      <sz val="9.5"/>
      <name val="ＭＳ 明朝"/>
      <family val="1"/>
    </font>
    <font>
      <sz val="12"/>
      <name val="ＭＳ 明朝"/>
      <family val="1"/>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medium"/>
      <top>
        <color indexed="63"/>
      </top>
      <bottom style="thin"/>
    </border>
    <border>
      <left style="medium"/>
      <right>
        <color indexed="63"/>
      </right>
      <top style="medium"/>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167">
    <xf numFmtId="0" fontId="0" fillId="0" borderId="0" xfId="0" applyAlignment="1">
      <alignment/>
    </xf>
    <xf numFmtId="176" fontId="0" fillId="0" borderId="0" xfId="0" applyNumberFormat="1" applyAlignment="1">
      <alignment/>
    </xf>
    <xf numFmtId="2" fontId="0" fillId="0" borderId="0" xfId="0" applyNumberFormat="1" applyAlignment="1">
      <alignment/>
    </xf>
    <xf numFmtId="0" fontId="0" fillId="0" borderId="0" xfId="0" applyAlignment="1">
      <alignment horizontal="right"/>
    </xf>
    <xf numFmtId="0" fontId="0" fillId="0" borderId="1" xfId="0" applyBorder="1" applyAlignment="1">
      <alignment horizontal="right"/>
    </xf>
    <xf numFmtId="0" fontId="0" fillId="0" borderId="2" xfId="0" applyBorder="1" applyAlignment="1">
      <alignment/>
    </xf>
    <xf numFmtId="0" fontId="0" fillId="0" borderId="3" xfId="0" applyBorder="1" applyAlignment="1">
      <alignment horizontal="right"/>
    </xf>
    <xf numFmtId="177" fontId="0" fillId="0" borderId="4" xfId="0" applyNumberFormat="1" applyBorder="1" applyAlignment="1">
      <alignment/>
    </xf>
    <xf numFmtId="0" fontId="0" fillId="0" borderId="4" xfId="0" applyBorder="1" applyAlignment="1">
      <alignment/>
    </xf>
    <xf numFmtId="0" fontId="0" fillId="0" borderId="5" xfId="0" applyBorder="1" applyAlignment="1">
      <alignment/>
    </xf>
    <xf numFmtId="176" fontId="0" fillId="0" borderId="6" xfId="0" applyNumberFormat="1" applyBorder="1" applyAlignment="1">
      <alignment/>
    </xf>
    <xf numFmtId="177" fontId="0" fillId="0" borderId="2" xfId="0" applyNumberFormat="1" applyBorder="1" applyAlignment="1">
      <alignment/>
    </xf>
    <xf numFmtId="176" fontId="0" fillId="0" borderId="7" xfId="0" applyNumberFormat="1" applyBorder="1" applyAlignment="1">
      <alignment/>
    </xf>
    <xf numFmtId="176" fontId="0" fillId="0" borderId="0" xfId="0" applyNumberFormat="1" applyBorder="1" applyAlignment="1">
      <alignment/>
    </xf>
    <xf numFmtId="177" fontId="0" fillId="0" borderId="3" xfId="0" applyNumberFormat="1" applyBorder="1" applyAlignment="1">
      <alignment/>
    </xf>
    <xf numFmtId="176" fontId="0" fillId="0" borderId="1" xfId="0" applyNumberFormat="1" applyBorder="1" applyAlignment="1">
      <alignment/>
    </xf>
    <xf numFmtId="0" fontId="0" fillId="0" borderId="3" xfId="0" applyBorder="1" applyAlignment="1">
      <alignment/>
    </xf>
    <xf numFmtId="182" fontId="0" fillId="0" borderId="0" xfId="0" applyNumberFormat="1" applyAlignment="1">
      <alignment/>
    </xf>
    <xf numFmtId="0" fontId="0" fillId="0" borderId="0" xfId="0" applyFill="1" applyBorder="1" applyAlignment="1">
      <alignment horizontal="right"/>
    </xf>
    <xf numFmtId="0" fontId="0" fillId="0" borderId="0" xfId="0" applyBorder="1" applyAlignment="1">
      <alignment horizontal="right"/>
    </xf>
    <xf numFmtId="182" fontId="0" fillId="0" borderId="0" xfId="0" applyNumberFormat="1" applyBorder="1" applyAlignment="1">
      <alignment/>
    </xf>
    <xf numFmtId="0" fontId="0" fillId="0" borderId="2" xfId="0" applyBorder="1" applyAlignment="1">
      <alignment horizontal="right"/>
    </xf>
    <xf numFmtId="176" fontId="0" fillId="0" borderId="4" xfId="0" applyNumberFormat="1" applyBorder="1" applyAlignment="1">
      <alignment/>
    </xf>
    <xf numFmtId="177" fontId="0" fillId="0" borderId="0" xfId="0" applyNumberFormat="1" applyBorder="1" applyAlignment="1">
      <alignment/>
    </xf>
    <xf numFmtId="176" fontId="0" fillId="0" borderId="2" xfId="0" applyNumberFormat="1" applyBorder="1" applyAlignment="1">
      <alignment/>
    </xf>
    <xf numFmtId="176" fontId="0" fillId="0" borderId="3" xfId="0" applyNumberFormat="1" applyBorder="1" applyAlignment="1">
      <alignment/>
    </xf>
    <xf numFmtId="0" fontId="0" fillId="0" borderId="6" xfId="0" applyBorder="1" applyAlignment="1">
      <alignment horizontal="right"/>
    </xf>
    <xf numFmtId="177" fontId="0" fillId="0" borderId="5" xfId="0" applyNumberFormat="1" applyBorder="1" applyAlignment="1">
      <alignment/>
    </xf>
    <xf numFmtId="176" fontId="0" fillId="0" borderId="5" xfId="0" applyNumberFormat="1" applyBorder="1" applyAlignment="1">
      <alignment/>
    </xf>
    <xf numFmtId="1" fontId="0" fillId="0" borderId="0" xfId="0" applyNumberFormat="1" applyAlignment="1">
      <alignment/>
    </xf>
    <xf numFmtId="0" fontId="0" fillId="0" borderId="0" xfId="0" applyBorder="1" applyAlignment="1">
      <alignment/>
    </xf>
    <xf numFmtId="0" fontId="0" fillId="0" borderId="4" xfId="0" applyBorder="1" applyAlignment="1">
      <alignment horizontal="right"/>
    </xf>
    <xf numFmtId="0" fontId="0" fillId="0" borderId="0" xfId="0" applyBorder="1" applyAlignment="1">
      <alignment horizontal="center"/>
    </xf>
    <xf numFmtId="0" fontId="0" fillId="0" borderId="8" xfId="0" applyBorder="1" applyAlignment="1">
      <alignment/>
    </xf>
    <xf numFmtId="0" fontId="0" fillId="0" borderId="9" xfId="0" applyBorder="1" applyAlignment="1">
      <alignment horizontal="right"/>
    </xf>
    <xf numFmtId="0" fontId="0" fillId="0" borderId="0" xfId="0" applyAlignment="1" quotePrefix="1">
      <alignment/>
    </xf>
    <xf numFmtId="176" fontId="0" fillId="0" borderId="0" xfId="0" applyNumberFormat="1" applyAlignment="1" quotePrefix="1">
      <alignment/>
    </xf>
    <xf numFmtId="2" fontId="0" fillId="0" borderId="0" xfId="0" applyNumberFormat="1"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xf>
    <xf numFmtId="0" fontId="0" fillId="0" borderId="5" xfId="0" applyBorder="1" applyAlignment="1">
      <alignment horizontal="right"/>
    </xf>
    <xf numFmtId="0" fontId="0" fillId="0" borderId="7" xfId="0" applyBorder="1" applyAlignment="1">
      <alignment horizontal="right"/>
    </xf>
    <xf numFmtId="2" fontId="0" fillId="0" borderId="7" xfId="0" applyNumberFormat="1" applyBorder="1" applyAlignment="1">
      <alignment/>
    </xf>
    <xf numFmtId="0" fontId="0" fillId="0" borderId="0" xfId="0" applyAlignment="1">
      <alignment horizontal="left"/>
    </xf>
    <xf numFmtId="2" fontId="0" fillId="0" borderId="4" xfId="0" applyNumberFormat="1" applyBorder="1" applyAlignment="1">
      <alignment/>
    </xf>
    <xf numFmtId="2" fontId="0" fillId="0" borderId="5" xfId="0" applyNumberFormat="1" applyBorder="1" applyAlignment="1">
      <alignment/>
    </xf>
    <xf numFmtId="2" fontId="0" fillId="0" borderId="2" xfId="0" applyNumberFormat="1" applyBorder="1" applyAlignment="1">
      <alignment/>
    </xf>
    <xf numFmtId="0" fontId="0" fillId="0" borderId="4" xfId="0" applyFill="1" applyBorder="1" applyAlignment="1">
      <alignment/>
    </xf>
    <xf numFmtId="176" fontId="0" fillId="0" borderId="0" xfId="0" applyNumberFormat="1" applyAlignment="1">
      <alignment horizontal="right"/>
    </xf>
    <xf numFmtId="176" fontId="0" fillId="0" borderId="1" xfId="0" applyNumberFormat="1" applyBorder="1" applyAlignment="1">
      <alignment horizontal="right"/>
    </xf>
    <xf numFmtId="182" fontId="0" fillId="0" borderId="0" xfId="0" applyNumberFormat="1" applyBorder="1" applyAlignment="1">
      <alignment horizontal="right"/>
    </xf>
    <xf numFmtId="1" fontId="0" fillId="0" borderId="7" xfId="0" applyNumberFormat="1" applyBorder="1" applyAlignment="1">
      <alignment/>
    </xf>
    <xf numFmtId="1" fontId="0" fillId="0" borderId="0" xfId="0" applyNumberFormat="1" applyBorder="1" applyAlignment="1">
      <alignment/>
    </xf>
    <xf numFmtId="1" fontId="0" fillId="0" borderId="1" xfId="0" applyNumberFormat="1" applyBorder="1" applyAlignment="1">
      <alignment/>
    </xf>
    <xf numFmtId="176" fontId="15" fillId="0" borderId="7" xfId="0" applyNumberFormat="1" applyFont="1" applyBorder="1" applyAlignment="1">
      <alignment/>
    </xf>
    <xf numFmtId="176" fontId="15" fillId="0" borderId="0" xfId="0" applyNumberFormat="1" applyFont="1" applyBorder="1" applyAlignment="1">
      <alignment/>
    </xf>
    <xf numFmtId="176" fontId="15" fillId="0" borderId="1" xfId="0" applyNumberFormat="1" applyFont="1" applyBorder="1" applyAlignment="1">
      <alignment/>
    </xf>
    <xf numFmtId="176" fontId="0" fillId="0" borderId="7" xfId="0" applyNumberFormat="1" applyFont="1" applyBorder="1" applyAlignment="1">
      <alignment/>
    </xf>
    <xf numFmtId="176" fontId="0" fillId="0" borderId="0" xfId="0" applyNumberFormat="1" applyFont="1" applyBorder="1" applyAlignment="1">
      <alignment/>
    </xf>
    <xf numFmtId="176" fontId="0" fillId="0" borderId="1" xfId="0" applyNumberFormat="1" applyFont="1" applyBorder="1" applyAlignment="1">
      <alignment/>
    </xf>
    <xf numFmtId="176" fontId="15" fillId="0" borderId="0" xfId="0" applyNumberFormat="1" applyFont="1" applyAlignment="1">
      <alignment horizontal="right"/>
    </xf>
    <xf numFmtId="176" fontId="15" fillId="0" borderId="1" xfId="0" applyNumberFormat="1" applyFont="1" applyBorder="1" applyAlignment="1">
      <alignment horizontal="right"/>
    </xf>
    <xf numFmtId="1" fontId="15" fillId="0" borderId="0" xfId="0" applyNumberFormat="1" applyFont="1" applyBorder="1" applyAlignment="1">
      <alignment/>
    </xf>
    <xf numFmtId="1" fontId="15" fillId="0" borderId="1" xfId="0" applyNumberFormat="1" applyFont="1" applyBorder="1" applyAlignment="1">
      <alignment/>
    </xf>
    <xf numFmtId="1" fontId="0" fillId="0" borderId="10" xfId="0" applyNumberFormat="1" applyFont="1" applyBorder="1" applyAlignment="1">
      <alignment/>
    </xf>
    <xf numFmtId="1" fontId="15" fillId="0" borderId="11" xfId="0" applyNumberFormat="1" applyFont="1" applyBorder="1" applyAlignment="1">
      <alignment/>
    </xf>
    <xf numFmtId="0" fontId="0" fillId="0" borderId="10" xfId="0" applyBorder="1" applyAlignment="1">
      <alignment horizontal="right"/>
    </xf>
    <xf numFmtId="176" fontId="15" fillId="0" borderId="0" xfId="0" applyNumberFormat="1" applyFont="1" applyBorder="1" applyAlignment="1">
      <alignment horizontal="right"/>
    </xf>
    <xf numFmtId="176" fontId="0" fillId="0" borderId="0" xfId="0" applyNumberFormat="1" applyBorder="1" applyAlignment="1">
      <alignment horizontal="right"/>
    </xf>
    <xf numFmtId="2" fontId="0" fillId="0" borderId="1" xfId="0" applyNumberFormat="1" applyBorder="1" applyAlignment="1">
      <alignment/>
    </xf>
    <xf numFmtId="2" fontId="0" fillId="0" borderId="3" xfId="0" applyNumberFormat="1" applyBorder="1" applyAlignment="1">
      <alignment/>
    </xf>
    <xf numFmtId="177" fontId="0" fillId="0" borderId="0" xfId="0" applyNumberFormat="1" applyAlignment="1">
      <alignment/>
    </xf>
    <xf numFmtId="176" fontId="0" fillId="0" borderId="6" xfId="0" applyNumberFormat="1" applyFont="1" applyBorder="1" applyAlignment="1">
      <alignment/>
    </xf>
    <xf numFmtId="1" fontId="0" fillId="0" borderId="6" xfId="0" applyNumberFormat="1" applyBorder="1" applyAlignment="1">
      <alignment/>
    </xf>
    <xf numFmtId="0" fontId="0" fillId="0" borderId="0" xfId="0" applyAlignment="1" quotePrefix="1">
      <alignment horizontal="right"/>
    </xf>
    <xf numFmtId="0" fontId="0" fillId="0" borderId="1" xfId="0" applyBorder="1" applyAlignment="1">
      <alignment horizontal="center"/>
    </xf>
    <xf numFmtId="0" fontId="18" fillId="0" borderId="0" xfId="21" applyFont="1">
      <alignment/>
      <protection/>
    </xf>
    <xf numFmtId="0" fontId="19" fillId="0" borderId="0" xfId="21" applyFont="1">
      <alignment/>
      <protection/>
    </xf>
    <xf numFmtId="0" fontId="20" fillId="0" borderId="0" xfId="21" applyFont="1">
      <alignment/>
      <protection/>
    </xf>
    <xf numFmtId="0" fontId="20" fillId="0" borderId="0" xfId="21" applyFont="1" applyBorder="1" applyAlignment="1" quotePrefix="1">
      <alignment horizontal="left"/>
      <protection/>
    </xf>
    <xf numFmtId="176" fontId="19" fillId="0" borderId="8" xfId="21" applyNumberFormat="1" applyFont="1" applyBorder="1">
      <alignment/>
      <protection/>
    </xf>
    <xf numFmtId="0" fontId="19" fillId="0" borderId="0" xfId="21" applyFont="1" applyBorder="1">
      <alignment/>
      <protection/>
    </xf>
    <xf numFmtId="0" fontId="19" fillId="0" borderId="4" xfId="21" applyFont="1" applyBorder="1">
      <alignment/>
      <protection/>
    </xf>
    <xf numFmtId="176" fontId="19" fillId="0" borderId="0" xfId="21" applyNumberFormat="1" applyFont="1">
      <alignment/>
      <protection/>
    </xf>
    <xf numFmtId="176" fontId="19" fillId="0" borderId="12" xfId="21" applyNumberFormat="1" applyFont="1" applyBorder="1">
      <alignment/>
      <protection/>
    </xf>
    <xf numFmtId="176" fontId="19" fillId="0" borderId="0" xfId="21" applyNumberFormat="1" applyFont="1" applyBorder="1">
      <alignment/>
      <protection/>
    </xf>
    <xf numFmtId="0" fontId="19" fillId="0" borderId="3" xfId="21" applyFont="1" applyBorder="1">
      <alignment/>
      <protection/>
    </xf>
    <xf numFmtId="176" fontId="19" fillId="0" borderId="13" xfId="21" applyNumberFormat="1" applyFont="1" applyBorder="1">
      <alignment/>
      <protection/>
    </xf>
    <xf numFmtId="0" fontId="19" fillId="0" borderId="1" xfId="21" applyFont="1" applyBorder="1">
      <alignment/>
      <protection/>
    </xf>
    <xf numFmtId="176" fontId="19" fillId="0" borderId="1" xfId="21" applyNumberFormat="1" applyFont="1" applyBorder="1">
      <alignment/>
      <protection/>
    </xf>
    <xf numFmtId="0" fontId="20" fillId="0" borderId="0" xfId="21" applyFont="1" applyBorder="1">
      <alignment/>
      <protection/>
    </xf>
    <xf numFmtId="0" fontId="19" fillId="0" borderId="8" xfId="21" applyFont="1" applyBorder="1">
      <alignment/>
      <protection/>
    </xf>
    <xf numFmtId="176" fontId="19" fillId="0" borderId="14" xfId="21" applyNumberFormat="1" applyFont="1" applyBorder="1">
      <alignment/>
      <protection/>
    </xf>
    <xf numFmtId="176" fontId="19" fillId="0" borderId="15" xfId="21" applyNumberFormat="1" applyFont="1" applyBorder="1">
      <alignment/>
      <protection/>
    </xf>
    <xf numFmtId="176" fontId="19" fillId="0" borderId="16" xfId="21" applyNumberFormat="1" applyFont="1" applyBorder="1">
      <alignment/>
      <protection/>
    </xf>
    <xf numFmtId="0" fontId="19" fillId="0" borderId="15" xfId="21" applyFont="1" applyBorder="1">
      <alignment/>
      <protection/>
    </xf>
    <xf numFmtId="176" fontId="19" fillId="0" borderId="17" xfId="21" applyNumberFormat="1" applyFont="1" applyBorder="1">
      <alignment/>
      <protection/>
    </xf>
    <xf numFmtId="176" fontId="19" fillId="0" borderId="18" xfId="21" applyNumberFormat="1" applyFont="1" applyBorder="1">
      <alignment/>
      <protection/>
    </xf>
    <xf numFmtId="176" fontId="19" fillId="0" borderId="10" xfId="21" applyNumberFormat="1" applyFont="1" applyBorder="1">
      <alignment/>
      <protection/>
    </xf>
    <xf numFmtId="0" fontId="20" fillId="0" borderId="5" xfId="21" applyFont="1" applyBorder="1">
      <alignment/>
      <protection/>
    </xf>
    <xf numFmtId="0" fontId="20" fillId="0" borderId="19" xfId="21" applyFont="1" applyBorder="1" applyAlignment="1">
      <alignment horizontal="right"/>
      <protection/>
    </xf>
    <xf numFmtId="0" fontId="20" fillId="0" borderId="6" xfId="21" applyFont="1" applyBorder="1" applyAlignment="1">
      <alignment horizontal="centerContinuous"/>
      <protection/>
    </xf>
    <xf numFmtId="0" fontId="20" fillId="0" borderId="5" xfId="21" applyFont="1" applyBorder="1" applyAlignment="1">
      <alignment horizontal="centerContinuous"/>
      <protection/>
    </xf>
    <xf numFmtId="0" fontId="20" fillId="0" borderId="6" xfId="21" applyFont="1" applyBorder="1" applyAlignment="1">
      <alignment horizontal="righ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Alignment="1">
      <alignment horizontal="center"/>
    </xf>
    <xf numFmtId="2" fontId="0" fillId="0" borderId="6" xfId="0" applyNumberFormat="1" applyBorder="1" applyAlignment="1">
      <alignment/>
    </xf>
    <xf numFmtId="177" fontId="0" fillId="0" borderId="6" xfId="0" applyNumberFormat="1" applyBorder="1" applyAlignment="1">
      <alignment/>
    </xf>
    <xf numFmtId="177" fontId="0" fillId="0" borderId="7" xfId="0" applyNumberFormat="1" applyBorder="1" applyAlignment="1">
      <alignment/>
    </xf>
    <xf numFmtId="177" fontId="0" fillId="0" borderId="1" xfId="0" applyNumberFormat="1" applyBorder="1" applyAlignment="1">
      <alignment/>
    </xf>
    <xf numFmtId="0" fontId="0" fillId="0" borderId="0" xfId="0" applyBorder="1" applyAlignment="1" quotePrefix="1">
      <alignment/>
    </xf>
    <xf numFmtId="0" fontId="0" fillId="0" borderId="0" xfId="0" applyFill="1" applyBorder="1" applyAlignment="1">
      <alignment/>
    </xf>
    <xf numFmtId="2" fontId="0" fillId="0" borderId="26" xfId="0" applyNumberFormat="1" applyBorder="1" applyAlignment="1">
      <alignment/>
    </xf>
    <xf numFmtId="2" fontId="0" fillId="0" borderId="10" xfId="0" applyNumberFormat="1" applyBorder="1" applyAlignment="1">
      <alignment/>
    </xf>
    <xf numFmtId="0" fontId="0" fillId="0" borderId="8" xfId="0" applyFont="1" applyBorder="1" applyAlignment="1">
      <alignment/>
    </xf>
    <xf numFmtId="0" fontId="0" fillId="0" borderId="1" xfId="0" applyFill="1" applyBorder="1" applyAlignment="1">
      <alignment horizontal="right"/>
    </xf>
    <xf numFmtId="176" fontId="0" fillId="0" borderId="0" xfId="0" applyNumberFormat="1" applyFont="1" applyAlignment="1">
      <alignment horizontal="right"/>
    </xf>
    <xf numFmtId="176" fontId="0" fillId="0" borderId="0" xfId="0" applyNumberFormat="1" applyFont="1" applyBorder="1" applyAlignment="1">
      <alignment horizontal="right"/>
    </xf>
    <xf numFmtId="176" fontId="0" fillId="0" borderId="1" xfId="0" applyNumberFormat="1" applyFont="1" applyBorder="1" applyAlignment="1">
      <alignment horizontal="right"/>
    </xf>
    <xf numFmtId="2" fontId="0" fillId="0" borderId="4" xfId="0" applyNumberFormat="1" applyBorder="1" applyAlignment="1">
      <alignment horizontal="right"/>
    </xf>
    <xf numFmtId="2" fontId="0" fillId="0" borderId="2" xfId="0" applyNumberFormat="1" applyBorder="1" applyAlignment="1">
      <alignment/>
    </xf>
    <xf numFmtId="1" fontId="0" fillId="0" borderId="7" xfId="0" applyNumberFormat="1" applyFont="1" applyBorder="1" applyAlignment="1">
      <alignment/>
    </xf>
    <xf numFmtId="0" fontId="0" fillId="0" borderId="0" xfId="0" applyFont="1" applyBorder="1" applyAlignment="1">
      <alignment/>
    </xf>
    <xf numFmtId="176" fontId="0" fillId="0" borderId="7" xfId="0" applyNumberFormat="1" applyFont="1" applyBorder="1" applyAlignment="1">
      <alignment horizontal="right"/>
    </xf>
    <xf numFmtId="176" fontId="15" fillId="0" borderId="7" xfId="0" applyNumberFormat="1" applyFont="1" applyBorder="1" applyAlignment="1">
      <alignment horizontal="right"/>
    </xf>
    <xf numFmtId="177" fontId="0" fillId="0" borderId="4" xfId="0" applyNumberFormat="1" applyBorder="1" applyAlignment="1">
      <alignment horizontal="right"/>
    </xf>
    <xf numFmtId="2" fontId="0" fillId="0" borderId="11" xfId="0" applyNumberFormat="1" applyBorder="1" applyAlignment="1">
      <alignment/>
    </xf>
    <xf numFmtId="0" fontId="23" fillId="0" borderId="0" xfId="0" applyFont="1" applyAlignment="1">
      <alignment/>
    </xf>
    <xf numFmtId="0" fontId="0" fillId="0" borderId="0" xfId="0" applyFont="1" applyAlignment="1">
      <alignment/>
    </xf>
    <xf numFmtId="0" fontId="0" fillId="0" borderId="7" xfId="0" applyFont="1" applyBorder="1" applyAlignment="1">
      <alignment/>
    </xf>
    <xf numFmtId="0" fontId="0" fillId="0" borderId="0" xfId="0" applyFill="1" applyBorder="1" applyAlignment="1" quotePrefix="1">
      <alignment/>
    </xf>
    <xf numFmtId="176" fontId="15" fillId="0" borderId="0" xfId="0" applyNumberFormat="1" applyFont="1" applyAlignment="1">
      <alignment/>
    </xf>
    <xf numFmtId="213" fontId="0" fillId="0" borderId="0" xfId="0" applyNumberFormat="1" applyAlignment="1">
      <alignment/>
    </xf>
    <xf numFmtId="186" fontId="0" fillId="0" borderId="0" xfId="0" applyNumberFormat="1" applyAlignment="1">
      <alignment/>
    </xf>
    <xf numFmtId="176" fontId="15" fillId="0" borderId="6" xfId="0" applyNumberFormat="1" applyFont="1" applyBorder="1" applyAlignment="1">
      <alignment/>
    </xf>
    <xf numFmtId="2" fontId="15" fillId="0" borderId="2" xfId="0" applyNumberFormat="1" applyFont="1" applyBorder="1" applyAlignment="1">
      <alignment/>
    </xf>
    <xf numFmtId="2" fontId="15" fillId="0" borderId="3" xfId="0" applyNumberFormat="1" applyFont="1" applyBorder="1" applyAlignment="1">
      <alignment/>
    </xf>
    <xf numFmtId="182" fontId="0" fillId="0" borderId="7" xfId="0" applyNumberFormat="1" applyBorder="1" applyAlignment="1">
      <alignment/>
    </xf>
    <xf numFmtId="0" fontId="0" fillId="0" borderId="27" xfId="0" applyBorder="1" applyAlignment="1">
      <alignment/>
    </xf>
    <xf numFmtId="182" fontId="0" fillId="0" borderId="26" xfId="0" applyNumberFormat="1" applyBorder="1" applyAlignment="1">
      <alignment/>
    </xf>
    <xf numFmtId="182" fontId="0" fillId="0" borderId="2" xfId="0" applyNumberFormat="1" applyBorder="1" applyAlignment="1">
      <alignment/>
    </xf>
    <xf numFmtId="182" fontId="0" fillId="0" borderId="11" xfId="0" applyNumberFormat="1" applyBorder="1" applyAlignment="1">
      <alignment/>
    </xf>
    <xf numFmtId="182" fontId="0" fillId="0" borderId="4" xfId="0" applyNumberFormat="1" applyBorder="1" applyAlignment="1">
      <alignment/>
    </xf>
    <xf numFmtId="182" fontId="0" fillId="0" borderId="10" xfId="0" applyNumberFormat="1" applyBorder="1" applyAlignment="1">
      <alignment/>
    </xf>
    <xf numFmtId="182" fontId="0" fillId="0" borderId="3" xfId="0" applyNumberFormat="1" applyBorder="1" applyAlignment="1">
      <alignment/>
    </xf>
    <xf numFmtId="2" fontId="15" fillId="0" borderId="0" xfId="0" applyNumberFormat="1" applyFont="1" applyBorder="1" applyAlignment="1">
      <alignment/>
    </xf>
    <xf numFmtId="0" fontId="15" fillId="0" borderId="0" xfId="0" applyFont="1" applyBorder="1" applyAlignment="1">
      <alignment/>
    </xf>
    <xf numFmtId="177" fontId="0" fillId="0" borderId="0" xfId="0" applyNumberFormat="1" applyFont="1" applyBorder="1" applyAlignment="1">
      <alignment/>
    </xf>
    <xf numFmtId="0" fontId="0" fillId="0" borderId="0" xfId="0" applyFill="1" applyBorder="1" applyAlignment="1">
      <alignment horizontal="center"/>
    </xf>
    <xf numFmtId="177" fontId="0" fillId="0" borderId="7" xfId="0" applyNumberFormat="1" applyFont="1" applyBorder="1" applyAlignment="1">
      <alignment/>
    </xf>
    <xf numFmtId="177" fontId="15" fillId="0" borderId="1" xfId="0" applyNumberFormat="1" applyFont="1" applyBorder="1" applyAlignment="1">
      <alignment/>
    </xf>
    <xf numFmtId="183" fontId="0" fillId="0" borderId="0" xfId="0" applyNumberFormat="1" applyAlignment="1">
      <alignment/>
    </xf>
    <xf numFmtId="183" fontId="0" fillId="0" borderId="0" xfId="0" applyNumberFormat="1" applyBorder="1" applyAlignment="1">
      <alignment/>
    </xf>
    <xf numFmtId="0" fontId="0" fillId="0" borderId="6" xfId="0" applyBorder="1" applyAlignment="1">
      <alignment horizontal="center"/>
    </xf>
    <xf numFmtId="0" fontId="0" fillId="0" borderId="27"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19" fillId="0" borderId="0" xfId="21" applyFont="1" applyAlignment="1">
      <alignment horizontal="center"/>
      <protection/>
    </xf>
    <xf numFmtId="0" fontId="18" fillId="0" borderId="0" xfId="21" applyFont="1" applyAlignment="1">
      <alignment horizontal="center"/>
      <protection/>
    </xf>
    <xf numFmtId="0" fontId="0" fillId="0" borderId="0" xfId="0"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箱根1" xfId="21"/>
    <cellStyle name="Followed Hyperlink"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
          <c:w val="0.9495"/>
          <c:h val="0.92625"/>
        </c:manualLayout>
      </c:layout>
      <c:scatterChart>
        <c:scatterStyle val="smooth"/>
        <c:varyColors val="0"/>
        <c:ser>
          <c:idx val="1"/>
          <c:order val="0"/>
          <c:tx>
            <c:strRef>
              <c:f>'３章'!$R$5</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'３章'!$Q$6:$Q$20</c:f>
              <c:numCache/>
            </c:numRef>
          </c:xVal>
          <c:yVal>
            <c:numRef>
              <c:f>'３章'!$R$6:$R$20</c:f>
              <c:numCache/>
            </c:numRef>
          </c:yVal>
          <c:smooth val="1"/>
        </c:ser>
        <c:ser>
          <c:idx val="2"/>
          <c:order val="1"/>
          <c:tx>
            <c:strRef>
              <c:f>'３章'!$S$5</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'３章'!$Q$6:$Q$20</c:f>
              <c:numCache/>
            </c:numRef>
          </c:xVal>
          <c:yVal>
            <c:numRef>
              <c:f>'３章'!$S$6:$S$20</c:f>
              <c:numCache/>
            </c:numRef>
          </c:yVal>
          <c:smooth val="1"/>
        </c:ser>
        <c:ser>
          <c:idx val="3"/>
          <c:order val="2"/>
          <c:tx>
            <c:strRef>
              <c:f>'３章'!$T$5</c:f>
              <c:strCache>
                <c:ptCount val="1"/>
                <c:pt idx="0">
                  <c:v>25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'３章'!$Q$6:$Q$20</c:f>
              <c:numCache/>
            </c:numRef>
          </c:xVal>
          <c:yVal>
            <c:numRef>
              <c:f>'３章'!$T$6:$T$20</c:f>
              <c:numCache/>
            </c:numRef>
          </c:yVal>
          <c:smooth val="1"/>
        </c:ser>
        <c:axId val="33222583"/>
        <c:axId val="30567792"/>
      </c:scatterChart>
      <c:valAx>
        <c:axId val="33222583"/>
        <c:scaling>
          <c:orientation val="minMax"/>
          <c:max val="1"/>
          <c:min val="-1"/>
        </c:scaling>
        <c:axPos val="b"/>
        <c:title>
          <c:tx>
            <c:rich>
              <a:bodyPr vert="horz" rot="0" anchor="ctr"/>
              <a:lstStyle/>
              <a:p>
                <a:pPr algn="ctr">
                  <a:defRPr/>
                </a:pPr>
                <a:r>
                  <a:rPr lang="en-US" cap="none" sz="100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0567792"/>
        <c:crosses val="autoZero"/>
        <c:crossBetween val="midCat"/>
        <c:dispUnits/>
      </c:valAx>
      <c:valAx>
        <c:axId val="30567792"/>
        <c:scaling>
          <c:orientation val="minMax"/>
          <c:max val="1"/>
          <c:min val="0"/>
        </c:scaling>
        <c:axPos val="l"/>
        <c:title>
          <c:tx>
            <c:rich>
              <a:bodyPr vert="horz" rot="-5400000" anchor="ctr"/>
              <a:lstStyle/>
              <a:p>
                <a:pPr algn="ctr">
                  <a:defRPr/>
                </a:pPr>
                <a:r>
                  <a:rPr lang="en-US" cap="none" sz="100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33222583"/>
        <c:crosses val="autoZero"/>
        <c:crossBetween val="midCat"/>
        <c:dispUnits/>
        <c:majorUnit val="0.2"/>
      </c:valAx>
      <c:spPr>
        <a:noFill/>
        <a:ln>
          <a:noFill/>
        </a:ln>
      </c:spPr>
    </c:plotArea>
    <c:legend>
      <c:legendPos val="r"/>
      <c:layout>
        <c:manualLayout>
          <c:xMode val="edge"/>
          <c:yMode val="edge"/>
          <c:x val="0.54875"/>
          <c:y val="0.03125"/>
          <c:w val="0.1805"/>
          <c:h val="0.243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0435"/>
          <c:w val="0.901"/>
          <c:h val="0.8615"/>
        </c:manualLayout>
      </c:layout>
      <c:scatterChart>
        <c:scatterStyle val="smooth"/>
        <c:varyColors val="0"/>
        <c:ser>
          <c:idx val="0"/>
          <c:order val="0"/>
          <c:tx>
            <c:strRef>
              <c:f>'５章'!$S$23</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'５章'!$R$24:$R$34</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'５章'!$S$24:$S$34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'５章'!$T$23</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'５章'!$R$24:$R$34</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'５章'!$T$24:$T$34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2"/>
          <c:order val="2"/>
          <c:tx>
            <c:strRef>
              <c:f>'５章'!$U$23</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'５章'!$R$24:$R$34</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'５章'!$U$24:$U$34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6190913"/>
        <c:axId val="55718218"/>
      </c:scatterChart>
      <c:valAx>
        <c:axId val="6190913"/>
        <c:scaling>
          <c:orientation val="minMax"/>
          <c:max val="1"/>
          <c:min val="-0.4"/>
        </c:scaling>
        <c:axPos val="b"/>
        <c:title>
          <c:tx>
            <c:rich>
              <a:bodyPr vert="horz" rot="0" anchor="ctr"/>
              <a:lstStyle/>
              <a:p>
                <a:pPr algn="ctr">
                  <a:defRPr/>
                </a:pPr>
                <a:r>
                  <a:rPr lang="en-US" cap="none" sz="95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5718218"/>
        <c:crosses val="autoZero"/>
        <c:crossBetween val="midCat"/>
        <c:dispUnits/>
        <c:majorUnit val="0.2"/>
      </c:valAx>
      <c:valAx>
        <c:axId val="55718218"/>
        <c:scaling>
          <c:orientation val="minMax"/>
          <c:max val="1"/>
          <c:min val="0"/>
        </c:scaling>
        <c:axPos val="l"/>
        <c:title>
          <c:tx>
            <c:rich>
              <a:bodyPr vert="horz" rot="-5400000" anchor="ctr"/>
              <a:lstStyle/>
              <a:p>
                <a:pPr algn="ctr">
                  <a:defRPr/>
                </a:pPr>
                <a:r>
                  <a:rPr lang="en-US" cap="none" sz="95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6190913"/>
        <c:crosses val="autoZero"/>
        <c:crossBetween val="midCat"/>
        <c:dispUnits/>
        <c:majorUnit val="0.2"/>
      </c:valAx>
      <c:spPr>
        <a:noFill/>
        <a:ln>
          <a:noFill/>
        </a:ln>
      </c:spPr>
    </c:plotArea>
    <c:legend>
      <c:legendPos val="r"/>
      <c:layout>
        <c:manualLayout>
          <c:xMode val="edge"/>
          <c:yMode val="edge"/>
          <c:x val="0.44275"/>
          <c:y val="0.139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strRef>
              <c:f>'５章'!$K$5</c:f>
              <c:strCache>
                <c:ptCount val="1"/>
                <c:pt idx="0">
                  <c:v>ｔ</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'５章'!$K$6:$K$33</c:f>
              <c:numCache>
                <c:ptCount val="28"/>
                <c:pt idx="0">
                  <c:v>0.0020311341422663</c:v>
                </c:pt>
                <c:pt idx="1">
                  <c:v>0.004783849816841768</c:v>
                </c:pt>
                <c:pt idx="2">
                  <c:v>0.01140111669663546</c:v>
                </c:pt>
                <c:pt idx="3">
                  <c:v>0.026939942992110222</c:v>
                </c:pt>
                <c:pt idx="4">
                  <c:v>0.06114793716160971</c:v>
                </c:pt>
                <c:pt idx="5">
                  <c:v>0.1274474411446902</c:v>
                </c:pt>
                <c:pt idx="6">
                  <c:v>0.2303626868566</c:v>
                </c:pt>
                <c:pt idx="7">
                  <c:v>0.3396909870046927</c:v>
                </c:pt>
                <c:pt idx="8">
                  <c:v>0.3891012504221275</c:v>
                </c:pt>
                <c:pt idx="9">
                  <c:v>0.3396909870046927</c:v>
                </c:pt>
                <c:pt idx="10">
                  <c:v>0.23036268685659722</c:v>
                </c:pt>
                <c:pt idx="11">
                  <c:v>0.1274474411446902</c:v>
                </c:pt>
                <c:pt idx="12">
                  <c:v>0.061147937161607976</c:v>
                </c:pt>
                <c:pt idx="13">
                  <c:v>0.02693994299210866</c:v>
                </c:pt>
                <c:pt idx="14">
                  <c:v>0.011401116696633596</c:v>
                </c:pt>
                <c:pt idx="15">
                  <c:v>0.004783849816842483</c:v>
                </c:pt>
                <c:pt idx="16">
                  <c:v>0.002031134142267395</c:v>
                </c:pt>
                <c:pt idx="17">
                  <c:v>0.0008832858569590219</c:v>
                </c:pt>
                <c:pt idx="18">
                  <c:v>0.0003960182435175212</c:v>
                </c:pt>
                <c:pt idx="19">
                  <c:v>0.00018360122359993916</c:v>
                </c:pt>
                <c:pt idx="20">
                  <c:v>8.808833334374136E-05</c:v>
                </c:pt>
                <c:pt idx="21">
                  <c:v>4.3712984788876115E-05</c:v>
                </c:pt>
                <c:pt idx="22">
                  <c:v>2.240772391503884E-05</c:v>
                </c:pt>
                <c:pt idx="23">
                  <c:v>1.1845688208003771E-05</c:v>
                </c:pt>
                <c:pt idx="24">
                  <c:v>6.446250098081873E-06</c:v>
                </c:pt>
                <c:pt idx="26">
                  <c:v>0.4</c:v>
                </c:pt>
                <c:pt idx="27">
                  <c:v>0</c:v>
                </c:pt>
              </c:numCache>
            </c:numRef>
          </c:yVal>
          <c:smooth val="1"/>
        </c:ser>
        <c:ser>
          <c:idx val="1"/>
          <c:order val="1"/>
          <c:tx>
            <c:strRef>
              <c:f>'５章'!$L$5</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'５章'!$L$6:$L$33</c:f>
              <c:numCache>
                <c:ptCount val="28"/>
                <c:pt idx="0">
                  <c:v>0.00011182786320465677</c:v>
                </c:pt>
                <c:pt idx="1">
                  <c:v>0.000297798191557658</c:v>
                </c:pt>
                <c:pt idx="2">
                  <c:v>0.0008300130435976988</c:v>
                </c:pt>
                <c:pt idx="3">
                  <c:v>0.002395693195268864</c:v>
                </c:pt>
                <c:pt idx="4">
                  <c:v>0.007014793244086874</c:v>
                </c:pt>
                <c:pt idx="5">
                  <c:v>0.020125675859852154</c:v>
                </c:pt>
                <c:pt idx="6">
                  <c:v>0.053727864495947956</c:v>
                </c:pt>
                <c:pt idx="7">
                  <c:v>0.12491165208651131</c:v>
                </c:pt>
                <c:pt idx="8">
                  <c:v>0.23624813573253056</c:v>
                </c:pt>
                <c:pt idx="9">
                  <c:v>0.3439157368661411</c:v>
                </c:pt>
                <c:pt idx="10">
                  <c:v>0.3798404980773074</c:v>
                </c:pt>
                <c:pt idx="11">
                  <c:v>0.32474375667330796</c:v>
                </c:pt>
                <c:pt idx="12">
                  <c:v>0.22542405221091716</c:v>
                </c:pt>
                <c:pt idx="13">
                  <c:v>0.13445454029749987</c:v>
                </c:pt>
                <c:pt idx="14">
                  <c:v>0.07259475609877493</c:v>
                </c:pt>
                <c:pt idx="15">
                  <c:v>0.03698531523068917</c:v>
                </c:pt>
                <c:pt idx="16">
                  <c:v>0.01832613741465352</c:v>
                </c:pt>
                <c:pt idx="17">
                  <c:v>0.009015729553893813</c:v>
                </c:pt>
                <c:pt idx="18">
                  <c:v>0.004463368238067071</c:v>
                </c:pt>
                <c:pt idx="19">
                  <c:v>0.0022422870805520853</c:v>
                </c:pt>
                <c:pt idx="20">
                  <c:v>0.001148735853511553</c:v>
                </c:pt>
                <c:pt idx="21">
                  <c:v>0.0006017129220693714</c:v>
                </c:pt>
                <c:pt idx="22">
                  <c:v>0.0003226213293636765</c:v>
                </c:pt>
                <c:pt idx="23">
                  <c:v>0.00017709853691254675</c:v>
                </c:pt>
                <c:pt idx="24">
                  <c:v>9.949093397765963E-05</c:v>
                </c:pt>
              </c:numCache>
            </c:numRef>
          </c:yVal>
          <c:smooth val="1"/>
        </c:ser>
        <c:ser>
          <c:idx val="2"/>
          <c:order val="2"/>
          <c:tx>
            <c:strRef>
              <c:f>'５章'!$M$5</c:f>
              <c:strCache>
                <c:ptCount val="1"/>
                <c:pt idx="0">
                  <c:v>2</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'５章'!$M$6:$M$33</c:f>
              <c:numCache>
                <c:ptCount val="28"/>
                <c:pt idx="0">
                  <c:v>2.9503217064584287E-06</c:v>
                </c:pt>
                <c:pt idx="1">
                  <c:v>8.657134341141032E-06</c:v>
                </c:pt>
                <c:pt idx="2">
                  <c:v>2.7345039548215685E-05</c:v>
                </c:pt>
                <c:pt idx="3">
                  <c:v>9.289276976036278E-05</c:v>
                </c:pt>
                <c:pt idx="4">
                  <c:v>0.0003364498614574199</c:v>
                </c:pt>
                <c:pt idx="5">
                  <c:v>0.0012712006793577464</c:v>
                </c:pt>
                <c:pt idx="6">
                  <c:v>0.004809010855506995</c:v>
                </c:pt>
                <c:pt idx="7">
                  <c:v>0.017094894576140933</c:v>
                </c:pt>
                <c:pt idx="8">
                  <c:v>0.0527681623440602</c:v>
                </c:pt>
                <c:pt idx="9">
                  <c:v>0.12966366752353256</c:v>
                </c:pt>
                <c:pt idx="10">
                  <c:v>0.2413718808810214</c:v>
                </c:pt>
                <c:pt idx="11">
                  <c:v>0.334993171229831</c:v>
                </c:pt>
                <c:pt idx="12">
                  <c:v>0.3556436193397157</c:v>
                </c:pt>
                <c:pt idx="13">
                  <c:v>0.3033779596468441</c:v>
                </c:pt>
                <c:pt idx="14">
                  <c:v>0.21973098960630152</c:v>
                </c:pt>
                <c:pt idx="15">
                  <c:v>0.1420207872259637</c:v>
                </c:pt>
                <c:pt idx="16">
                  <c:v>0.08524752107733677</c:v>
                </c:pt>
                <c:pt idx="17">
                  <c:v>0.048954109895778114</c:v>
                </c:pt>
                <c:pt idx="18">
                  <c:v>0.02747035594192453</c:v>
                </c:pt>
                <c:pt idx="19">
                  <c:v>0.01528428883980899</c:v>
                </c:pt>
                <c:pt idx="20">
                  <c:v>0.008515169241007656</c:v>
                </c:pt>
                <c:pt idx="21">
                  <c:v>0.004780815755284614</c:v>
                </c:pt>
                <c:pt idx="22">
                  <c:v>0.0027161023688072653</c:v>
                </c:pt>
                <c:pt idx="23">
                  <c:v>0.0015653130623155933</c:v>
                </c:pt>
                <c:pt idx="24">
                  <c:v>0.0009163620395547195</c:v>
                </c:pt>
              </c:numCache>
            </c:numRef>
          </c:yVal>
          <c:smooth val="1"/>
        </c:ser>
        <c:ser>
          <c:idx val="3"/>
          <c:order val="3"/>
          <c:tx>
            <c:strRef>
              <c:f>'５章'!$O$5</c:f>
              <c:strCache>
                <c:ptCount val="1"/>
                <c:pt idx="0">
                  <c:v>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'５章'!$N$6:$N$33</c:f>
              <c:numCache>
                <c:ptCount val="28"/>
                <c:pt idx="0">
                  <c:v>3.233090538058203E-08</c:v>
                </c:pt>
                <c:pt idx="1">
                  <c:v>1.0169270276256316E-07</c:v>
                </c:pt>
                <c:pt idx="2">
                  <c:v>3.7607068625163687E-07</c:v>
                </c:pt>
                <c:pt idx="3">
                  <c:v>1.5225675834352075E-06</c:v>
                </c:pt>
                <c:pt idx="4">
                  <c:v>6.669567310306073E-06</c:v>
                </c:pt>
                <c:pt idx="5">
                  <c:v>3.1937887514598905E-05</c:v>
                </c:pt>
                <c:pt idx="6">
                  <c:v>0.00016484667751293214</c:v>
                </c:pt>
                <c:pt idx="7">
                  <c:v>0.0008704681898150567</c:v>
                </c:pt>
                <c:pt idx="8">
                  <c:v>0.004335918290041583</c:v>
                </c:pt>
                <c:pt idx="9">
                  <c:v>0.018210238692574775</c:v>
                </c:pt>
                <c:pt idx="10">
                  <c:v>0.05923560889037037</c:v>
                </c:pt>
                <c:pt idx="11">
                  <c:v>0.14074313563620736</c:v>
                </c:pt>
                <c:pt idx="12">
                  <c:v>0.24292118779650504</c:v>
                </c:pt>
                <c:pt idx="13">
                  <c:v>0.3151019362426323</c:v>
                </c:pt>
                <c:pt idx="14">
                  <c:v>0.3240045180717979</c:v>
                </c:pt>
                <c:pt idx="15">
                  <c:v>0.27926973555850837</c:v>
                </c:pt>
                <c:pt idx="16">
                  <c:v>0.21193393149281367</c:v>
                </c:pt>
                <c:pt idx="17">
                  <c:v>0.1472785111282422</c:v>
                </c:pt>
                <c:pt idx="18">
                  <c:v>0.09654828199422928</c:v>
                </c:pt>
                <c:pt idx="19">
                  <c:v>0.06101727721167339</c:v>
                </c:pt>
                <c:pt idx="20">
                  <c:v>0.03775885211484857</c:v>
                </c:pt>
                <c:pt idx="21">
                  <c:v>0.023131593734515062</c:v>
                </c:pt>
                <c:pt idx="22">
                  <c:v>0.014136148927761999</c:v>
                </c:pt>
                <c:pt idx="23">
                  <c:v>0.008663189459937399</c:v>
                </c:pt>
                <c:pt idx="24">
                  <c:v>0.0053430705935878465</c:v>
                </c:pt>
              </c:numCache>
            </c:numRef>
          </c:yVal>
          <c:smooth val="1"/>
        </c:ser>
        <c:axId val="31701915"/>
        <c:axId val="16881780"/>
      </c:scatterChart>
      <c:valAx>
        <c:axId val="31701915"/>
        <c:scaling>
          <c:orientation val="minMax"/>
          <c:max val="8"/>
          <c:min val="-4"/>
        </c:scaling>
        <c:axPos val="b"/>
        <c:delete val="0"/>
        <c:numFmt formatCode="0" sourceLinked="0"/>
        <c:majorTickMark val="in"/>
        <c:minorTickMark val="none"/>
        <c:tickLblPos val="nextTo"/>
        <c:txPr>
          <a:bodyPr/>
          <a:lstStyle/>
          <a:p>
            <a:pPr>
              <a:defRPr lang="en-US" cap="none" sz="1000" b="0" i="0" u="none" baseline="0"/>
            </a:pPr>
          </a:p>
        </c:txPr>
        <c:crossAx val="16881780"/>
        <c:crosses val="autoZero"/>
        <c:crossBetween val="midCat"/>
        <c:dispUnits/>
        <c:majorUnit val="1"/>
      </c:valAx>
      <c:valAx>
        <c:axId val="16881780"/>
        <c:scaling>
          <c:orientation val="minMax"/>
          <c:max val="0.4"/>
          <c:min val="0"/>
        </c:scaling>
        <c:axPos val="l"/>
        <c:delete val="0"/>
        <c:numFmt formatCode="0.0" sourceLinked="0"/>
        <c:majorTickMark val="in"/>
        <c:minorTickMark val="none"/>
        <c:tickLblPos val="none"/>
        <c:txPr>
          <a:bodyPr/>
          <a:lstStyle/>
          <a:p>
            <a:pPr>
              <a:defRPr lang="en-US" cap="none" sz="1000" b="0" i="0" u="none" baseline="0"/>
            </a:pPr>
          </a:p>
        </c:txPr>
        <c:crossAx val="31701915"/>
        <c:crosses val="autoZero"/>
        <c:crossBetween val="midCat"/>
        <c:dispUnits/>
        <c:majorUnit val="0.1"/>
      </c:valAx>
      <c:spPr>
        <a:noFill/>
        <a:ln>
          <a:noFill/>
        </a:ln>
      </c:spPr>
    </c:plotArea>
    <c:plotVisOnly val="1"/>
    <c:dispBlanksAs val="gap"/>
    <c:showDLblsOverMax val="0"/>
  </c:chart>
  <c:txPr>
    <a:bodyPr vert="horz" rot="0"/>
    <a:lstStyle/>
    <a:p>
      <a:pPr>
        <a:defRPr lang="en-US" cap="none" sz="3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325"/>
          <c:w val="0.97425"/>
          <c:h val="0.95675"/>
        </c:manualLayout>
      </c:layout>
      <c:scatterChart>
        <c:scatterStyle val="smooth"/>
        <c:varyColors val="0"/>
        <c:ser>
          <c:idx val="0"/>
          <c:order val="0"/>
          <c:tx>
            <c:strRef>
              <c:f>'6章'!$R$25</c:f>
              <c:strCache>
                <c:ptCount val="1"/>
                <c:pt idx="0">
                  <c:v>H0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'6章'!$R$26:$R$61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ser>
          <c:idx val="1"/>
          <c:order val="1"/>
          <c:tx>
            <c:strRef>
              <c:f>'6章'!$S$25</c:f>
              <c:strCache>
                <c:ptCount val="1"/>
                <c:pt idx="0">
                  <c:v>H1</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'6章'!$S$26:$S$61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ser>
          <c:idx val="2"/>
          <c:order val="2"/>
          <c:tx>
            <c:strRef>
              <c:f>'6章'!$T$25</c:f>
              <c:strCache>
                <c:ptCount val="1"/>
                <c:pt idx="0">
                  <c:v>H2</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'6章'!$T$26:$T$61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ser>
          <c:idx val="3"/>
          <c:order val="3"/>
          <c:tx>
            <c:strRef>
              <c:f>'6章'!$U$25</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'6章'!$U$26:$U$61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axId val="17718293"/>
        <c:axId val="25246910"/>
      </c:scatterChart>
      <c:valAx>
        <c:axId val="17718293"/>
        <c:scaling>
          <c:orientation val="minMax"/>
          <c:max val="5"/>
          <c:min val="0"/>
        </c:scaling>
        <c:axPos val="b"/>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25246910"/>
        <c:crosses val="autoZero"/>
        <c:crossBetween val="midCat"/>
        <c:dispUnits/>
        <c:majorUnit val="1"/>
      </c:valAx>
      <c:valAx>
        <c:axId val="25246910"/>
        <c:scaling>
          <c:orientation val="minMax"/>
          <c:min val="0"/>
        </c:scaling>
        <c:axPos val="l"/>
        <c:delete val="0"/>
        <c:numFmt formatCode="General" sourceLinked="1"/>
        <c:majorTickMark val="in"/>
        <c:minorTickMark val="none"/>
        <c:tickLblPos val="none"/>
        <c:crossAx val="17718293"/>
        <c:crosses val="autoZero"/>
        <c:crossBetween val="midCat"/>
        <c:dispUnits/>
      </c:valAx>
      <c:spPr>
        <a:noFill/>
        <a:ln>
          <a:noFill/>
        </a:ln>
      </c:spPr>
    </c:plotArea>
    <c:plotVisOnly val="1"/>
    <c:dispBlanksAs val="gap"/>
    <c:showDLblsOverMax val="0"/>
  </c:chart>
  <c:txPr>
    <a:bodyPr vert="horz" rot="0"/>
    <a:lstStyle/>
    <a:p>
      <a:pPr>
        <a:defRPr lang="en-US" cap="none" sz="825"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strRef>
              <c:f>'6章'!$L$4</c:f>
              <c:strCache>
                <c:ptCount val="1"/>
                <c:pt idx="0">
                  <c:v>3-9</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'6章'!$K$5:$K$34</c:f>
              <c:numCache/>
            </c:numRef>
          </c:xVal>
          <c:yVal>
            <c:numRef>
              <c:f>'6章'!$L$5:$L$34</c:f>
              <c:numCache/>
            </c:numRef>
          </c:yVal>
          <c:smooth val="1"/>
        </c:ser>
        <c:ser>
          <c:idx val="1"/>
          <c:order val="1"/>
          <c:tx>
            <c:strRef>
              <c:f>'6章'!$M$4</c:f>
              <c:strCache>
                <c:ptCount val="1"/>
                <c:pt idx="0">
                  <c:v>9-3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'6章'!$K$5:$K$34</c:f>
              <c:numCache/>
            </c:numRef>
          </c:xVal>
          <c:yVal>
            <c:numRef>
              <c:f>'6章'!$M$5:$M$34</c:f>
              <c:numCache/>
            </c:numRef>
          </c:yVal>
          <c:smooth val="1"/>
        </c:ser>
        <c:ser>
          <c:idx val="2"/>
          <c:order val="2"/>
          <c:tx>
            <c:strRef>
              <c:f>'6章'!$N$4</c:f>
              <c:strCache>
                <c:ptCount val="1"/>
                <c:pt idx="0">
                  <c:v>9-9</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'6章'!$K$5:$K$34</c:f>
              <c:numCache/>
            </c:numRef>
          </c:xVal>
          <c:yVal>
            <c:numRef>
              <c:f>'6章'!$N$5:$N$34</c:f>
              <c:numCache/>
            </c:numRef>
          </c:yVal>
          <c:smooth val="1"/>
        </c:ser>
        <c:axId val="25895599"/>
        <c:axId val="31733800"/>
      </c:scatterChart>
      <c:valAx>
        <c:axId val="25895599"/>
        <c:scaling>
          <c:orientation val="minMax"/>
          <c:max val="4.5"/>
          <c:min val="0"/>
        </c:scaling>
        <c:axPos val="b"/>
        <c:delete val="0"/>
        <c:numFmt formatCode="0.0_ " sourceLinked="0"/>
        <c:majorTickMark val="in"/>
        <c:minorTickMark val="none"/>
        <c:tickLblPos val="nextTo"/>
        <c:txPr>
          <a:bodyPr/>
          <a:lstStyle/>
          <a:p>
            <a:pPr>
              <a:defRPr lang="en-US" cap="none" sz="1175" b="0" i="0" u="none" baseline="0">
                <a:latin typeface="ＭＳ 明朝"/>
                <a:ea typeface="ＭＳ 明朝"/>
                <a:cs typeface="ＭＳ 明朝"/>
              </a:defRPr>
            </a:pPr>
          </a:p>
        </c:txPr>
        <c:crossAx val="31733800"/>
        <c:crosses val="autoZero"/>
        <c:crossBetween val="midCat"/>
        <c:dispUnits/>
        <c:majorUnit val="0.5"/>
      </c:valAx>
      <c:valAx>
        <c:axId val="31733800"/>
        <c:scaling>
          <c:orientation val="minMax"/>
          <c:min val="0"/>
        </c:scaling>
        <c:axPos val="l"/>
        <c:delete val="0"/>
        <c:numFmt formatCode="General" sourceLinked="1"/>
        <c:majorTickMark val="in"/>
        <c:minorTickMark val="none"/>
        <c:tickLblPos val="none"/>
        <c:txPr>
          <a:bodyPr/>
          <a:lstStyle/>
          <a:p>
            <a:pPr>
              <a:defRPr lang="en-US" cap="none" sz="1000" b="0" i="0" u="none" baseline="0">
                <a:latin typeface="ＭＳ 明朝"/>
                <a:ea typeface="ＭＳ 明朝"/>
                <a:cs typeface="ＭＳ 明朝"/>
              </a:defRPr>
            </a:pPr>
          </a:p>
        </c:txPr>
        <c:crossAx val="25895599"/>
        <c:crosses val="autoZero"/>
        <c:crossBetween val="midCat"/>
        <c:dispUnits/>
      </c:valAx>
      <c:spPr>
        <a:noFill/>
        <a:ln>
          <a:noFill/>
        </a:ln>
      </c:spPr>
    </c:plotArea>
    <c:legend>
      <c:legendPos val="r"/>
      <c:layout>
        <c:manualLayout>
          <c:xMode val="edge"/>
          <c:yMode val="edge"/>
          <c:x val="0.57425"/>
          <c:y val="0.17025"/>
        </c:manualLayout>
      </c:layout>
      <c:overlay val="0"/>
      <c:txPr>
        <a:bodyPr vert="horz" rot="0"/>
        <a:lstStyle/>
        <a:p>
          <a:pPr>
            <a:defRPr lang="en-US" cap="none" sz="1100" b="0" i="0" u="none" baseline="0">
              <a:latin typeface="ＭＳ 明朝"/>
              <a:ea typeface="ＭＳ 明朝"/>
              <a:cs typeface="ＭＳ 明朝"/>
            </a:defRPr>
          </a:pPr>
        </a:p>
      </c:txPr>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'11章'!$A$32:$A$45</c:f>
              <c:numCache/>
            </c:numRef>
          </c:xVal>
          <c:yVal>
            <c:numRef>
              <c:f>'11章'!$G$32:$G$45</c:f>
              <c:numCache/>
            </c:numRef>
          </c:yVal>
          <c:smooth val="0"/>
        </c:ser>
        <c:axId val="17168745"/>
        <c:axId val="20300978"/>
      </c:scatterChart>
      <c:valAx>
        <c:axId val="17168745"/>
        <c:scaling>
          <c:orientation val="minMax"/>
          <c:max val="310"/>
          <c:min val="270"/>
        </c:scaling>
        <c:axPos val="b"/>
        <c:delete val="0"/>
        <c:numFmt formatCode="General" sourceLinked="1"/>
        <c:majorTickMark val="in"/>
        <c:minorTickMark val="none"/>
        <c:tickLblPos val="nextTo"/>
        <c:txPr>
          <a:bodyPr/>
          <a:lstStyle/>
          <a:p>
            <a:pPr>
              <a:defRPr lang="en-US" cap="none" sz="1100" b="0" i="0" u="none" baseline="0">
                <a:latin typeface="ＭＳ 明朝"/>
                <a:ea typeface="ＭＳ 明朝"/>
                <a:cs typeface="ＭＳ 明朝"/>
              </a:defRPr>
            </a:pPr>
          </a:p>
        </c:txPr>
        <c:crossAx val="20300978"/>
        <c:crosses val="autoZero"/>
        <c:crossBetween val="midCat"/>
        <c:dispUnits/>
      </c:valAx>
      <c:valAx>
        <c:axId val="20300978"/>
        <c:scaling>
          <c:orientation val="minMax"/>
          <c:max val="0.92"/>
          <c:min val="0.83"/>
        </c:scaling>
        <c:axPos val="l"/>
        <c:majorGridlines/>
        <c:delete val="0"/>
        <c:numFmt formatCode="0.0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17168745"/>
        <c:crosses val="autoZero"/>
        <c:crossBetween val="midCat"/>
        <c:dispUnits/>
        <c:majorUnit val="0.01"/>
      </c:valAx>
      <c:spPr>
        <a:noFill/>
        <a:ln>
          <a:noFill/>
        </a:ln>
      </c:spPr>
    </c:plotArea>
    <c:plotVisOnly val="1"/>
    <c:dispBlanksAs val="gap"/>
    <c:showDLblsOverMax val="0"/>
  </c:chart>
  <c:txPr>
    <a:bodyPr vert="horz" rot="0"/>
    <a:lstStyle/>
    <a:p>
      <a:pPr>
        <a:defRPr lang="en-US" cap="none" sz="550"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
          <c:w val="0.92175"/>
          <c:h val="0.9955"/>
        </c:manualLayout>
      </c:layout>
      <c:scatterChart>
        <c:scatterStyle val="smooth"/>
        <c:varyColors val="0"/>
        <c:ser>
          <c:idx val="0"/>
          <c:order val="0"/>
          <c:tx>
            <c:strRef>
              <c:f>'12章'!$K$3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'12章'!$K$4:$K$13</c:f>
              <c:numCache/>
            </c:numRef>
          </c:yVal>
          <c:smooth val="1"/>
        </c:ser>
        <c:ser>
          <c:idx val="1"/>
          <c:order val="1"/>
          <c:tx>
            <c:strRef>
              <c:f>'12章'!$L$3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'12章'!$L$4:$L$13</c:f>
              <c:numCache/>
            </c:numRef>
          </c:yVal>
          <c:smooth val="1"/>
        </c:ser>
        <c:axId val="48491075"/>
        <c:axId val="33766492"/>
      </c:scatterChart>
      <c:scatterChart>
        <c:scatterStyle val="lineMarker"/>
        <c:varyColors val="0"/>
        <c:ser>
          <c:idx val="2"/>
          <c:order val="2"/>
          <c:tx>
            <c:strRef>
              <c:f>'12章'!$M$3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'12章'!$M$4:$M$13</c:f>
              <c:numCache/>
            </c:numRef>
          </c:yVal>
          <c:smooth val="1"/>
        </c:ser>
        <c:ser>
          <c:idx val="3"/>
          <c:order val="3"/>
          <c:tx>
            <c:strRef>
              <c:f>'12章'!$N$3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'12章'!$N$4:$N$13</c:f>
              <c:numCache/>
            </c:numRef>
          </c:yVal>
          <c:smooth val="1"/>
        </c:ser>
        <c:axId val="35462973"/>
        <c:axId val="50731302"/>
      </c:scatterChart>
      <c:valAx>
        <c:axId val="48491075"/>
        <c:scaling>
          <c:orientation val="minMax"/>
          <c:max val="100"/>
        </c:scaling>
        <c:axPos val="b"/>
        <c:title>
          <c:tx>
            <c:rich>
              <a:bodyPr vert="horz" rot="0" anchor="ctr"/>
              <a:lstStyle/>
              <a:p>
                <a:pPr algn="ctr">
                  <a:defRPr/>
                </a:pPr>
                <a:r>
                  <a:rPr lang="en-US" cap="none" sz="1200" b="0" i="0" u="none" baseline="0">
                    <a:latin typeface="ＭＳ 明朝"/>
                    <a:ea typeface="ＭＳ 明朝"/>
                    <a:cs typeface="ＭＳ 明朝"/>
                  </a:rPr>
                  <a:t>n</a:t>
                </a:r>
              </a:p>
            </c:rich>
          </c:tx>
          <c:layout/>
          <c:overlay val="0"/>
          <c:spPr>
            <a:noFill/>
            <a:ln>
              <a:noFill/>
            </a:ln>
          </c:spPr>
        </c:title>
        <c:delete val="0"/>
        <c:numFmt formatCode="General" sourceLinked="1"/>
        <c:majorTickMark val="in"/>
        <c:minorTickMark val="none"/>
        <c:tickLblPos val="nextTo"/>
        <c:crossAx val="33766492"/>
        <c:crosses val="autoZero"/>
        <c:crossBetween val="midCat"/>
        <c:dispUnits/>
      </c:valAx>
      <c:valAx>
        <c:axId val="33766492"/>
        <c:scaling>
          <c:orientation val="minMax"/>
          <c:max val="9"/>
          <c:min val="1"/>
        </c:scaling>
        <c:axPos val="l"/>
        <c:title>
          <c:tx>
            <c:rich>
              <a:bodyPr vert="horz" rot="-5400000" anchor="ctr"/>
              <a:lstStyle/>
              <a:p>
                <a:pPr algn="ctr">
                  <a:defRPr/>
                </a:pPr>
                <a:r>
                  <a:rPr lang="en-US" cap="none" sz="1200" b="0" i="0" u="none" baseline="0">
                    <a:latin typeface="ＭＳ 明朝"/>
                    <a:ea typeface="ＭＳ 明朝"/>
                    <a:cs typeface="ＭＳ 明朝"/>
                  </a:rPr>
                  <a:t>標準偏差の上限/下限</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48491075"/>
        <c:crosses val="autoZero"/>
        <c:crossBetween val="midCat"/>
        <c:dispUnits/>
      </c:valAx>
      <c:valAx>
        <c:axId val="35462973"/>
        <c:scaling>
          <c:orientation val="minMax"/>
        </c:scaling>
        <c:axPos val="b"/>
        <c:delete val="1"/>
        <c:majorTickMark val="in"/>
        <c:minorTickMark val="none"/>
        <c:tickLblPos val="nextTo"/>
        <c:crossAx val="50731302"/>
        <c:crosses val="max"/>
        <c:crossBetween val="midCat"/>
        <c:dispUnits/>
      </c:valAx>
      <c:valAx>
        <c:axId val="50731302"/>
        <c:scaling>
          <c:orientation val="minMax"/>
          <c:max val="2.6"/>
          <c:min val="1"/>
        </c:scaling>
        <c:axPos val="l"/>
        <c:delete val="0"/>
        <c:numFmt formatCode="0.0_ "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35462973"/>
        <c:crosses val="max"/>
        <c:crossBetween val="midCat"/>
        <c:dispUnits/>
      </c:valAx>
      <c:spPr>
        <a:noFill/>
        <a:ln>
          <a:noFill/>
        </a:ln>
      </c:spPr>
    </c:plotArea>
    <c:legend>
      <c:legendPos val="r"/>
      <c:layout>
        <c:manualLayout>
          <c:xMode val="edge"/>
          <c:yMode val="edge"/>
          <c:x val="0.6825"/>
          <c:y val="0.0545"/>
        </c:manualLayout>
      </c:layout>
      <c:overlay val="0"/>
    </c:legend>
    <c:plotVisOnly val="1"/>
    <c:dispBlanksAs val="gap"/>
    <c:showDLblsOverMax val="0"/>
  </c:chart>
  <c:txPr>
    <a:bodyPr vert="horz" rot="0"/>
    <a:lstStyle/>
    <a:p>
      <a:pPr>
        <a:defRPr lang="en-US" cap="none" sz="950"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
          <c:w val="0.92325"/>
          <c:h val="0.996"/>
        </c:manualLayout>
      </c:layout>
      <c:scatterChart>
        <c:scatterStyle val="smooth"/>
        <c:varyColors val="0"/>
        <c:ser>
          <c:idx val="0"/>
          <c:order val="0"/>
          <c:tx>
            <c:strRef>
              <c:f>'12章'!$K$3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'12章'!$K$25:$K$34</c:f>
              <c:numCache/>
            </c:numRef>
          </c:yVal>
          <c:smooth val="1"/>
        </c:ser>
        <c:ser>
          <c:idx val="1"/>
          <c:order val="1"/>
          <c:tx>
            <c:strRef>
              <c:f>'12章'!$L$3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'12章'!$L$25:$L$34</c:f>
              <c:numCache/>
            </c:numRef>
          </c:yVal>
          <c:smooth val="1"/>
        </c:ser>
        <c:axId val="53928535"/>
        <c:axId val="15594768"/>
      </c:scatterChart>
      <c:scatterChart>
        <c:scatterStyle val="lineMarker"/>
        <c:varyColors val="0"/>
        <c:ser>
          <c:idx val="2"/>
          <c:order val="2"/>
          <c:tx>
            <c:strRef>
              <c:f>'12章'!$M$3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'12章'!$M$25:$M$34</c:f>
              <c:numCache/>
            </c:numRef>
          </c:yVal>
          <c:smooth val="1"/>
        </c:ser>
        <c:ser>
          <c:idx val="3"/>
          <c:order val="3"/>
          <c:tx>
            <c:strRef>
              <c:f>'12章'!$N$3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'12章'!$N$25:$N$34</c:f>
              <c:numCache/>
            </c:numRef>
          </c:yVal>
          <c:smooth val="1"/>
        </c:ser>
        <c:axId val="6135185"/>
        <c:axId val="55216666"/>
      </c:scatterChart>
      <c:valAx>
        <c:axId val="53928535"/>
        <c:scaling>
          <c:orientation val="minMax"/>
          <c:max val="100"/>
        </c:scaling>
        <c:axPos val="b"/>
        <c:title>
          <c:tx>
            <c:rich>
              <a:bodyPr vert="horz" rot="0" anchor="ctr"/>
              <a:lstStyle/>
              <a:p>
                <a:pPr algn="ctr">
                  <a:defRPr/>
                </a:pPr>
                <a:r>
                  <a:rPr lang="en-US" cap="none" sz="1000" b="0" i="0" u="none" baseline="0">
                    <a:latin typeface="ＭＳ 明朝"/>
                    <a:ea typeface="ＭＳ 明朝"/>
                    <a:cs typeface="ＭＳ 明朝"/>
                  </a:rPr>
                  <a:t>n</a:t>
                </a:r>
              </a:p>
            </c:rich>
          </c:tx>
          <c:layout/>
          <c:overlay val="0"/>
          <c:spPr>
            <a:noFill/>
            <a:ln>
              <a:noFill/>
            </a:ln>
          </c:spPr>
        </c:title>
        <c:delete val="0"/>
        <c:numFmt formatCode="General" sourceLinked="1"/>
        <c:majorTickMark val="in"/>
        <c:minorTickMark val="none"/>
        <c:tickLblPos val="nextTo"/>
        <c:crossAx val="15594768"/>
        <c:crosses val="autoZero"/>
        <c:crossBetween val="midCat"/>
        <c:dispUnits/>
      </c:valAx>
      <c:valAx>
        <c:axId val="15594768"/>
        <c:scaling>
          <c:orientation val="minMax"/>
          <c:max val="11"/>
          <c:min val="1"/>
        </c:scaling>
        <c:axPos val="l"/>
        <c:title>
          <c:tx>
            <c:rich>
              <a:bodyPr vert="horz" rot="-5400000" anchor="ctr"/>
              <a:lstStyle/>
              <a:p>
                <a:pPr algn="ctr">
                  <a:defRPr/>
                </a:pPr>
                <a:r>
                  <a:rPr lang="en-US" cap="none" sz="1000" b="0" i="0" u="none" baseline="0">
                    <a:latin typeface="ＭＳ 明朝"/>
                    <a:ea typeface="ＭＳ 明朝"/>
                    <a:cs typeface="ＭＳ 明朝"/>
                  </a:rPr>
                  <a:t>標準偏差の上限/下限</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53928535"/>
        <c:crosses val="autoZero"/>
        <c:crossBetween val="midCat"/>
        <c:dispUnits/>
      </c:valAx>
      <c:valAx>
        <c:axId val="6135185"/>
        <c:scaling>
          <c:orientation val="minMax"/>
        </c:scaling>
        <c:axPos val="b"/>
        <c:delete val="1"/>
        <c:majorTickMark val="in"/>
        <c:minorTickMark val="none"/>
        <c:tickLblPos val="nextTo"/>
        <c:crossAx val="55216666"/>
        <c:crosses val="max"/>
        <c:crossBetween val="midCat"/>
        <c:dispUnits/>
      </c:valAx>
      <c:valAx>
        <c:axId val="55216666"/>
        <c:scaling>
          <c:orientation val="minMax"/>
          <c:max val="3"/>
          <c:min val="1"/>
        </c:scaling>
        <c:axPos val="l"/>
        <c:delete val="0"/>
        <c:numFmt formatCode="0.0_ "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6135185"/>
        <c:crosses val="max"/>
        <c:crossBetween val="midCat"/>
        <c:dispUnits/>
      </c:valAx>
      <c:spPr>
        <a:noFill/>
        <a:ln>
          <a:noFill/>
        </a:ln>
      </c:spPr>
    </c:plotArea>
    <c:legend>
      <c:legendPos val="r"/>
      <c:layout>
        <c:manualLayout>
          <c:xMode val="edge"/>
          <c:yMode val="edge"/>
          <c:x val="0.692"/>
          <c:y val="0.07825"/>
        </c:manualLayout>
      </c:layout>
      <c:overlay val="0"/>
    </c:legend>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
          <c:w val="0.944"/>
          <c:h val="1"/>
        </c:manualLayout>
      </c:layout>
      <c:scatterChart>
        <c:scatterStyle val="smooth"/>
        <c:varyColors val="0"/>
        <c:ser>
          <c:idx val="0"/>
          <c:order val="0"/>
          <c:tx>
            <c:strRef>
              <c:f>'表の作成'!$J$3</c:f>
              <c:strCache>
                <c:ptCount val="1"/>
                <c:pt idx="0">
                  <c:v>9</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'表の作成'!$I$4:$I$18</c:f>
              <c:numCache/>
            </c:numRef>
          </c:xVal>
          <c:yVal>
            <c:numRef>
              <c:f>'表の作成'!$J$4:$J$18</c:f>
              <c:numCache/>
            </c:numRef>
          </c:yVal>
          <c:smooth val="1"/>
        </c:ser>
        <c:ser>
          <c:idx val="1"/>
          <c:order val="1"/>
          <c:tx>
            <c:strRef>
              <c:f>'表の作成'!$K$3</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'表の作成'!$I$4:$I$18</c:f>
              <c:numCache/>
            </c:numRef>
          </c:xVal>
          <c:yVal>
            <c:numRef>
              <c:f>'表の作成'!$K$4:$K$18</c:f>
              <c:numCache/>
            </c:numRef>
          </c:yVal>
          <c:smooth val="1"/>
        </c:ser>
        <c:ser>
          <c:idx val="2"/>
          <c:order val="2"/>
          <c:tx>
            <c:strRef>
              <c:f>'表の作成'!$L$3</c:f>
              <c:strCache>
                <c:ptCount val="1"/>
                <c:pt idx="0">
                  <c:v>25</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'表の作成'!$I$4:$I$18</c:f>
              <c:numCache/>
            </c:numRef>
          </c:xVal>
          <c:yVal>
            <c:numRef>
              <c:f>'表の作成'!$L$4:$L$18</c:f>
              <c:numCache/>
            </c:numRef>
          </c:yVal>
          <c:smooth val="1"/>
        </c:ser>
        <c:axId val="27187947"/>
        <c:axId val="43364932"/>
      </c:scatterChart>
      <c:valAx>
        <c:axId val="27187947"/>
        <c:scaling>
          <c:orientation val="minMax"/>
          <c:max val="1"/>
          <c:min val="-0.4"/>
        </c:scaling>
        <c:axPos val="b"/>
        <c:title>
          <c:tx>
            <c:rich>
              <a:bodyPr vert="horz" rot="0" anchor="ctr"/>
              <a:lstStyle/>
              <a:p>
                <a:pPr algn="ctr">
                  <a:defRPr/>
                </a:pPr>
                <a:r>
                  <a:rPr lang="en-US" cap="none" sz="1000" b="0" i="0" u="none" baseline="0">
                    <a:latin typeface="ＭＳ 明朝"/>
                    <a:ea typeface="ＭＳ 明朝"/>
                    <a:cs typeface="ＭＳ 明朝"/>
                  </a:rPr>
                  <a:t>⊿</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明朝"/>
                <a:ea typeface="ＭＳ 明朝"/>
                <a:cs typeface="ＭＳ 明朝"/>
              </a:defRPr>
            </a:pPr>
          </a:p>
        </c:txPr>
        <c:crossAx val="43364932"/>
        <c:crosses val="autoZero"/>
        <c:crossBetween val="midCat"/>
        <c:dispUnits/>
        <c:majorUnit val="0.2"/>
      </c:valAx>
      <c:valAx>
        <c:axId val="43364932"/>
        <c:scaling>
          <c:orientation val="minMax"/>
          <c:max val="1"/>
          <c:min val="0"/>
        </c:scaling>
        <c:axPos val="l"/>
        <c:title>
          <c:tx>
            <c:rich>
              <a:bodyPr vert="horz" rot="-5400000" anchor="ctr"/>
              <a:lstStyle/>
              <a:p>
                <a:pPr algn="ctr">
                  <a:defRPr/>
                </a:pPr>
                <a:r>
                  <a:rPr lang="en-US" cap="none" sz="1000" b="0" i="0" u="none" baseline="0">
                    <a:latin typeface="ＭＳ 明朝"/>
                    <a:ea typeface="ＭＳ 明朝"/>
                    <a:cs typeface="ＭＳ 明朝"/>
                  </a:rPr>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100" b="0" i="0" u="none" baseline="0">
                <a:latin typeface="ＭＳ 明朝"/>
                <a:ea typeface="ＭＳ 明朝"/>
                <a:cs typeface="ＭＳ 明朝"/>
              </a:defRPr>
            </a:pPr>
          </a:p>
        </c:txPr>
        <c:crossAx val="27187947"/>
        <c:crosses val="autoZero"/>
        <c:crossBetween val="midCat"/>
        <c:dispUnits/>
        <c:majorUnit val="0.2"/>
      </c:valAx>
      <c:spPr>
        <a:noFill/>
        <a:ln>
          <a:noFill/>
        </a:ln>
      </c:spPr>
    </c:plotArea>
    <c:legend>
      <c:legendPos val="r"/>
      <c:layout>
        <c:manualLayout>
          <c:xMode val="edge"/>
          <c:yMode val="edge"/>
          <c:x val="0.161"/>
          <c:y val="0.09575"/>
          <c:w val="0.1925"/>
          <c:h val="0.2635"/>
        </c:manualLayout>
      </c:layout>
      <c:overlay val="0"/>
      <c:txPr>
        <a:bodyPr vert="horz" rot="0"/>
        <a:lstStyle/>
        <a:p>
          <a:pPr>
            <a:defRPr lang="en-US" cap="none" sz="1100" b="0" i="0" u="none" baseline="0">
              <a:latin typeface="ＭＳ 明朝"/>
              <a:ea typeface="ＭＳ 明朝"/>
              <a:cs typeface="ＭＳ 明朝"/>
            </a:defRPr>
          </a:pPr>
        </a:p>
      </c:txPr>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445"/>
          <c:w val="0.9265"/>
          <c:h val="0.87925"/>
        </c:manualLayout>
      </c:layout>
      <c:scatterChart>
        <c:scatterStyle val="smooth"/>
        <c:varyColors val="0"/>
        <c:ser>
          <c:idx val="0"/>
          <c:order val="0"/>
          <c:tx>
            <c:strRef>
              <c:f>'３章'!$R$27</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'３章'!$Q$28:$Q$42</c:f>
              <c:numCache/>
            </c:numRef>
          </c:xVal>
          <c:yVal>
            <c:numRef>
              <c:f>'３章'!$R$28:$R$42</c:f>
              <c:numCache/>
            </c:numRef>
          </c:yVal>
          <c:smooth val="1"/>
        </c:ser>
        <c:ser>
          <c:idx val="1"/>
          <c:order val="1"/>
          <c:tx>
            <c:strRef>
              <c:f>'３章'!$S$27</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'３章'!$Q$28:$Q$42</c:f>
              <c:numCache/>
            </c:numRef>
          </c:xVal>
          <c:yVal>
            <c:numRef>
              <c:f>'３章'!$S$28:$S$42</c:f>
              <c:numCache/>
            </c:numRef>
          </c:yVal>
          <c:smooth val="1"/>
        </c:ser>
        <c:ser>
          <c:idx val="2"/>
          <c:order val="2"/>
          <c:tx>
            <c:strRef>
              <c:f>'３章'!$T$27</c:f>
              <c:strCache>
                <c:ptCount val="1"/>
                <c:pt idx="0">
                  <c:v>25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'３章'!$Q$28:$Q$42</c:f>
              <c:numCache/>
            </c:numRef>
          </c:xVal>
          <c:yVal>
            <c:numRef>
              <c:f>'３章'!$T$28:$T$42</c:f>
              <c:numCache/>
            </c:numRef>
          </c:yVal>
          <c:smooth val="1"/>
        </c:ser>
        <c:axId val="6674673"/>
        <c:axId val="60072058"/>
      </c:scatterChart>
      <c:valAx>
        <c:axId val="6674673"/>
        <c:scaling>
          <c:orientation val="minMax"/>
          <c:max val="1"/>
          <c:min val="-0.4"/>
        </c:scaling>
        <c:axPos val="b"/>
        <c:title>
          <c:tx>
            <c:rich>
              <a:bodyPr vert="horz" rot="0" anchor="ctr"/>
              <a:lstStyle/>
              <a:p>
                <a:pPr algn="ctr">
                  <a:defRPr/>
                </a:pPr>
                <a:r>
                  <a:rPr lang="en-US" cap="none" sz="100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0072058"/>
        <c:crosses val="autoZero"/>
        <c:crossBetween val="midCat"/>
        <c:dispUnits/>
        <c:majorUnit val="0.2"/>
      </c:valAx>
      <c:valAx>
        <c:axId val="60072058"/>
        <c:scaling>
          <c:orientation val="minMax"/>
          <c:max val="1"/>
          <c:min val="0"/>
        </c:scaling>
        <c:axPos val="l"/>
        <c:title>
          <c:tx>
            <c:rich>
              <a:bodyPr vert="horz" rot="-5400000" anchor="ctr"/>
              <a:lstStyle/>
              <a:p>
                <a:pPr algn="ctr">
                  <a:defRPr/>
                </a:pPr>
                <a:r>
                  <a:rPr lang="en-US" cap="none" sz="100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6674673"/>
        <c:crosses val="autoZero"/>
        <c:crossBetween val="midCat"/>
        <c:dispUnits/>
        <c:majorUnit val="0.2"/>
      </c:valAx>
      <c:spPr>
        <a:noFill/>
        <a:ln>
          <a:noFill/>
        </a:ln>
      </c:spPr>
    </c:plotArea>
    <c:legend>
      <c:legendPos val="r"/>
      <c:layout>
        <c:manualLayout>
          <c:xMode val="edge"/>
          <c:yMode val="edge"/>
          <c:x val="0.84475"/>
          <c:y val="0.309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3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'３章'!$K$18:$K$55</c:f>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'３章'!$L$18:$L$55</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'３章'!$M$18:$M$55</c:f>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'３章'!$N$18:$N$55</c:f>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'３章'!$O$18:$O$55</c:f>
              <c:numCache/>
            </c:numRef>
          </c:yVal>
          <c:smooth val="1"/>
        </c:ser>
        <c:axId val="3777611"/>
        <c:axId val="33998500"/>
      </c:scatterChart>
      <c:valAx>
        <c:axId val="3777611"/>
        <c:scaling>
          <c:orientation val="minMax"/>
          <c:max val="4"/>
          <c:min val="-3"/>
        </c:scaling>
        <c:axPos val="b"/>
        <c:delete val="0"/>
        <c:numFmt formatCode="0" sourceLinked="0"/>
        <c:majorTickMark val="in"/>
        <c:minorTickMark val="none"/>
        <c:tickLblPos val="nextTo"/>
        <c:txPr>
          <a:bodyPr/>
          <a:lstStyle/>
          <a:p>
            <a:pPr>
              <a:defRPr lang="en-US" cap="none" sz="1000" b="0" i="0" u="none" baseline="0">
                <a:latin typeface="ＭＳ 明朝"/>
                <a:ea typeface="ＭＳ 明朝"/>
                <a:cs typeface="ＭＳ 明朝"/>
              </a:defRPr>
            </a:pPr>
          </a:p>
        </c:txPr>
        <c:crossAx val="33998500"/>
        <c:crosses val="autoZero"/>
        <c:crossBetween val="midCat"/>
        <c:dispUnits/>
        <c:majorUnit val="1"/>
      </c:valAx>
      <c:valAx>
        <c:axId val="33998500"/>
        <c:scaling>
          <c:orientation val="minMax"/>
          <c:max val="3"/>
          <c:min val="0"/>
        </c:scaling>
        <c:axPos val="l"/>
        <c:majorGridlines/>
        <c:delete val="0"/>
        <c:numFmt formatCode="General" sourceLinked="1"/>
        <c:majorTickMark val="in"/>
        <c:minorTickMark val="none"/>
        <c:tickLblPos val="none"/>
        <c:crossAx val="3777611"/>
        <c:crosses val="autoZero"/>
        <c:crossBetween val="midCat"/>
        <c:dispUnits/>
        <c:majorUnit val="2"/>
      </c:valAx>
      <c:spPr>
        <a:noFill/>
        <a:ln>
          <a:noFill/>
        </a:ln>
      </c:spPr>
    </c:plotArea>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'４章'!$Y$4</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'４章'!$X$5:$X$19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'４章'!$Y$5:$Y$19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1"/>
          <c:order val="1"/>
          <c:tx>
            <c:strRef>
              <c:f>'４章'!$Z$4</c:f>
              <c:strCache>
                <c:ptCount val="1"/>
                <c:pt idx="0">
                  <c:v>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'４章'!$X$5:$X$19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'４章'!$Z$5:$Z$19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2"/>
          <c:order val="2"/>
          <c:tx>
            <c:strRef>
              <c:f>'４章'!$AA$4</c:f>
              <c:strCache>
                <c:ptCount val="1"/>
                <c:pt idx="0">
                  <c:v>30</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'４章'!$X$5:$X$19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'４章'!$AA$5:$AA$19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37551045"/>
        <c:axId val="2415086"/>
      </c:scatterChart>
      <c:valAx>
        <c:axId val="37551045"/>
        <c:scaling>
          <c:orientation val="minMax"/>
          <c:max val="3"/>
        </c:scaling>
        <c:axPos val="b"/>
        <c:delete val="0"/>
        <c:numFmt formatCode="General" sourceLinked="1"/>
        <c:majorTickMark val="in"/>
        <c:minorTickMark val="none"/>
        <c:tickLblPos val="nextTo"/>
        <c:txPr>
          <a:bodyPr/>
          <a:lstStyle/>
          <a:p>
            <a:pPr>
              <a:defRPr lang="en-US" cap="none" sz="1000" b="0" i="0" u="none" baseline="0"/>
            </a:pPr>
          </a:p>
        </c:txPr>
        <c:crossAx val="2415086"/>
        <c:crosses val="autoZero"/>
        <c:crossBetween val="midCat"/>
        <c:dispUnits/>
        <c:majorUnit val="0.5"/>
      </c:valAx>
      <c:valAx>
        <c:axId val="2415086"/>
        <c:scaling>
          <c:orientation val="minMax"/>
          <c:max val="1"/>
        </c:scaling>
        <c:axPos val="l"/>
        <c:majorGridlines>
          <c:spPr>
            <a:ln w="3175">
              <a:solidFill/>
              <a:prstDash val="sysDot"/>
            </a:ln>
          </c:spPr>
        </c:majorGridlines>
        <c:delete val="0"/>
        <c:numFmt formatCode="0.0" sourceLinked="0"/>
        <c:majorTickMark val="in"/>
        <c:minorTickMark val="none"/>
        <c:tickLblPos val="nextTo"/>
        <c:txPr>
          <a:bodyPr/>
          <a:lstStyle/>
          <a:p>
            <a:pPr>
              <a:defRPr lang="en-US" cap="none" sz="1000" b="0" i="0" u="none" baseline="0"/>
            </a:pPr>
          </a:p>
        </c:txPr>
        <c:crossAx val="37551045"/>
        <c:crosses val="autoZero"/>
        <c:crossBetween val="midCat"/>
        <c:dispUnits/>
        <c:majorUnit val="0.2"/>
      </c:valAx>
      <c:spPr>
        <a:noFill/>
        <a:ln>
          <a:noFill/>
        </a:ln>
      </c:spPr>
    </c:plotArea>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'４章'!$Y$4</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'４章'!$X$25:$X$39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'４章'!$Y$25:$Y$39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1"/>
          <c:order val="1"/>
          <c:tx>
            <c:strRef>
              <c:f>'４章'!$Z$4</c:f>
              <c:strCache>
                <c:ptCount val="1"/>
                <c:pt idx="0">
                  <c:v>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'４章'!$X$25:$X$39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'４章'!$Z$25:$Z$39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2"/>
          <c:order val="2"/>
          <c:tx>
            <c:strRef>
              <c:f>'４章'!$AA$4</c:f>
              <c:strCache>
                <c:ptCount val="1"/>
                <c:pt idx="0">
                  <c:v>30</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'４章'!$X$25:$X$39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'４章'!$AA$25:$AA$39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21735775"/>
        <c:axId val="61404248"/>
      </c:scatterChart>
      <c:valAx>
        <c:axId val="21735775"/>
        <c:scaling>
          <c:orientation val="minMax"/>
          <c:max val="3"/>
        </c:scaling>
        <c:axPos val="b"/>
        <c:delete val="0"/>
        <c:numFmt formatCode="General" sourceLinked="1"/>
        <c:majorTickMark val="in"/>
        <c:minorTickMark val="none"/>
        <c:tickLblPos val="nextTo"/>
        <c:txPr>
          <a:bodyPr/>
          <a:lstStyle/>
          <a:p>
            <a:pPr>
              <a:defRPr lang="en-US" cap="none" sz="1000" b="0" i="0" u="none" baseline="0"/>
            </a:pPr>
          </a:p>
        </c:txPr>
        <c:crossAx val="61404248"/>
        <c:crosses val="autoZero"/>
        <c:crossBetween val="midCat"/>
        <c:dispUnits/>
        <c:majorUnit val="0.5"/>
      </c:valAx>
      <c:valAx>
        <c:axId val="61404248"/>
        <c:scaling>
          <c:orientation val="minMax"/>
          <c:max val="1"/>
          <c:min val="0"/>
        </c:scaling>
        <c:axPos val="l"/>
        <c:majorGridlines>
          <c:spPr>
            <a:ln w="3175">
              <a:solidFill/>
              <a:prstDash val="sysDot"/>
            </a:ln>
          </c:spPr>
        </c:majorGridlines>
        <c:delete val="0"/>
        <c:numFmt formatCode="0.0" sourceLinked="0"/>
        <c:majorTickMark val="in"/>
        <c:minorTickMark val="none"/>
        <c:tickLblPos val="nextTo"/>
        <c:txPr>
          <a:bodyPr/>
          <a:lstStyle/>
          <a:p>
            <a:pPr>
              <a:defRPr lang="en-US" cap="none" sz="1000" b="0" i="0" u="none" baseline="0"/>
            </a:pPr>
          </a:p>
        </c:txPr>
        <c:crossAx val="21735775"/>
        <c:crosses val="autoZero"/>
        <c:crossBetween val="midCat"/>
        <c:dispUnits/>
        <c:majorUnit val="0.2"/>
      </c:valAx>
      <c:spPr>
        <a:noFill/>
        <a:ln>
          <a:noFill/>
        </a:ln>
      </c:spPr>
    </c:plotArea>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'４章'!$Y$4</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'４章'!$X$45:$X$59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'４章'!$Y$45:$Y$59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1"/>
          <c:order val="1"/>
          <c:tx>
            <c:strRef>
              <c:f>'４章'!$Z$4</c:f>
              <c:strCache>
                <c:ptCount val="1"/>
                <c:pt idx="0">
                  <c:v>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'４章'!$X$45:$X$59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'４章'!$Z$45:$Z$59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2"/>
          <c:order val="2"/>
          <c:tx>
            <c:strRef>
              <c:f>'４章'!$AA$4</c:f>
              <c:strCache>
                <c:ptCount val="1"/>
                <c:pt idx="0">
                  <c:v>30</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'４章'!$X$45:$X$59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'４章'!$AA$45:$AA$59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15767321"/>
        <c:axId val="7688162"/>
      </c:scatterChart>
      <c:valAx>
        <c:axId val="15767321"/>
        <c:scaling>
          <c:orientation val="minMax"/>
          <c:max val="1.5"/>
        </c:scaling>
        <c:axPos val="b"/>
        <c:delete val="0"/>
        <c:numFmt formatCode="General" sourceLinked="1"/>
        <c:majorTickMark val="in"/>
        <c:minorTickMark val="none"/>
        <c:tickLblPos val="nextTo"/>
        <c:txPr>
          <a:bodyPr/>
          <a:lstStyle/>
          <a:p>
            <a:pPr>
              <a:defRPr lang="en-US" cap="none" sz="1000" b="0" i="0" u="none" baseline="0"/>
            </a:pPr>
          </a:p>
        </c:txPr>
        <c:crossAx val="7688162"/>
        <c:crosses val="autoZero"/>
        <c:crossBetween val="midCat"/>
        <c:dispUnits/>
        <c:majorUnit val="0.5"/>
      </c:valAx>
      <c:valAx>
        <c:axId val="7688162"/>
        <c:scaling>
          <c:orientation val="minMax"/>
          <c:max val="1"/>
          <c:min val="0"/>
        </c:scaling>
        <c:axPos val="l"/>
        <c:majorGridlines>
          <c:spPr>
            <a:ln w="3175">
              <a:solidFill/>
              <a:prstDash val="sysDot"/>
            </a:ln>
          </c:spPr>
        </c:majorGridlines>
        <c:delete val="0"/>
        <c:numFmt formatCode="0.0" sourceLinked="0"/>
        <c:majorTickMark val="in"/>
        <c:minorTickMark val="none"/>
        <c:tickLblPos val="nextTo"/>
        <c:txPr>
          <a:bodyPr/>
          <a:lstStyle/>
          <a:p>
            <a:pPr>
              <a:defRPr lang="en-US" cap="none" sz="1000" b="0" i="0" u="none" baseline="0"/>
            </a:pPr>
          </a:p>
        </c:txPr>
        <c:crossAx val="15767321"/>
        <c:crosses val="autoZero"/>
        <c:crossBetween val="midCat"/>
        <c:dispUnits/>
        <c:majorUnit val="0.2"/>
      </c:valAx>
      <c:spPr>
        <a:noFill/>
        <a:ln>
          <a:noFill/>
        </a:ln>
      </c:spPr>
    </c:plotArea>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'４章'!$Q$68:$Q$95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'４章'!$R$68:$R$95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'４章'!$Q$68:$Q$95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'４章'!$S$68:$S$95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axId val="2084595"/>
        <c:axId val="18761356"/>
      </c:scatterChart>
      <c:valAx>
        <c:axId val="2084595"/>
        <c:scaling>
          <c:orientation val="minMax"/>
          <c:min val="0"/>
        </c:scaling>
        <c:axPos val="b"/>
        <c:delete val="0"/>
        <c:numFmt formatCode="General" sourceLinked="1"/>
        <c:majorTickMark val="in"/>
        <c:minorTickMark val="none"/>
        <c:tickLblPos val="nextTo"/>
        <c:txPr>
          <a:bodyPr/>
          <a:lstStyle/>
          <a:p>
            <a:pPr>
              <a:defRPr lang="en-US" cap="none" sz="1000" b="0" i="0" u="none" baseline="0"/>
            </a:pPr>
          </a:p>
        </c:txPr>
        <c:crossAx val="18761356"/>
        <c:crosses val="autoZero"/>
        <c:crossBetween val="midCat"/>
        <c:dispUnits/>
      </c:valAx>
      <c:valAx>
        <c:axId val="18761356"/>
        <c:scaling>
          <c:orientation val="minMax"/>
          <c:min val="0"/>
        </c:scaling>
        <c:axPos val="l"/>
        <c:majorGridlines>
          <c:spPr>
            <a:ln w="3175">
              <a:solidFill/>
              <a:prstDash val="sysDot"/>
            </a:ln>
          </c:spPr>
        </c:majorGridlines>
        <c:delete val="0"/>
        <c:numFmt formatCode="0.00" sourceLinked="0"/>
        <c:majorTickMark val="in"/>
        <c:minorTickMark val="none"/>
        <c:tickLblPos val="nextTo"/>
        <c:txPr>
          <a:bodyPr/>
          <a:lstStyle/>
          <a:p>
            <a:pPr>
              <a:defRPr lang="en-US" cap="none" sz="1000" b="0" i="0" u="none" baseline="0"/>
            </a:pPr>
          </a:p>
        </c:txPr>
        <c:crossAx val="2084595"/>
        <c:crosses val="autoZero"/>
        <c:crossBetween val="midCat"/>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'４章'!$K$25:$K$52</c:f>
              <c:numCache/>
            </c:numRef>
          </c:xVal>
          <c:yVal>
            <c:numRef>
              <c:f>'４章'!$L$25:$L$52</c:f>
              <c:numCache/>
            </c:numRef>
          </c:yVal>
          <c:smooth val="1"/>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'４章'!$K$25:$K$52</c:f>
              <c:numCache/>
            </c:numRef>
          </c:xVal>
          <c:yVal>
            <c:numRef>
              <c:f>'４章'!$N$25:$N$52</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'４章'!$K$25:$K$55</c:f>
              <c:numCache/>
            </c:numRef>
          </c:xVal>
          <c:yVal>
            <c:numRef>
              <c:f>'４章'!$O$25:$O$55</c:f>
              <c:numCache/>
            </c:numRef>
          </c:yVal>
          <c:smooth val="1"/>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'４章'!$K$25:$K$52</c:f>
              <c:numCache/>
            </c:numRef>
          </c:xVal>
          <c:yVal>
            <c:numRef>
              <c:f>'４章'!$M$25:$M$52</c:f>
              <c:numCache/>
            </c:numRef>
          </c:yVal>
          <c:smooth val="1"/>
        </c:ser>
        <c:axId val="34634477"/>
        <c:axId val="43274838"/>
      </c:scatterChart>
      <c:valAx>
        <c:axId val="34634477"/>
        <c:scaling>
          <c:orientation val="minMax"/>
        </c:scaling>
        <c:axPos val="b"/>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43274838"/>
        <c:crosses val="autoZero"/>
        <c:crossBetween val="midCat"/>
        <c:dispUnits/>
      </c:valAx>
      <c:valAx>
        <c:axId val="43274838"/>
        <c:scaling>
          <c:orientation val="minMax"/>
        </c:scaling>
        <c:axPos val="l"/>
        <c:delete val="0"/>
        <c:numFmt formatCode="General" sourceLinked="1"/>
        <c:majorTickMark val="in"/>
        <c:minorTickMark val="none"/>
        <c:tickLblPos val="none"/>
        <c:crossAx val="34634477"/>
        <c:crosses val="autoZero"/>
        <c:crossBetween val="midCat"/>
        <c:dispUnits/>
      </c:valAx>
      <c:spPr>
        <a:noFill/>
        <a:ln>
          <a:noFill/>
        </a:ln>
      </c:spPr>
    </c:plotArea>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
          <c:w val="0.9395"/>
          <c:h val="0.91975"/>
        </c:manualLayout>
      </c:layout>
      <c:scatterChart>
        <c:scatterStyle val="smooth"/>
        <c:varyColors val="0"/>
        <c:ser>
          <c:idx val="0"/>
          <c:order val="0"/>
          <c:tx>
            <c:strRef>
              <c:f>'５章'!$S$5</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'５章'!$R$6:$R$16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'５章'!$S$6:$S$16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'５章'!$T$5</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'５章'!$R$6:$R$16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'５章'!$T$6:$T$16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2"/>
          <c:order val="2"/>
          <c:tx>
            <c:strRef>
              <c:f>'５章'!$U$5</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'５章'!$R$6:$R$16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'５章'!$U$6:$U$16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3929223"/>
        <c:axId val="15600960"/>
      </c:scatterChart>
      <c:valAx>
        <c:axId val="53929223"/>
        <c:scaling>
          <c:orientation val="minMax"/>
          <c:max val="1"/>
          <c:min val="-1"/>
        </c:scaling>
        <c:axPos val="b"/>
        <c:title>
          <c:tx>
            <c:rich>
              <a:bodyPr vert="horz" rot="0" anchor="ctr"/>
              <a:lstStyle/>
              <a:p>
                <a:pPr algn="ctr">
                  <a:defRPr/>
                </a:pPr>
                <a:r>
                  <a:rPr lang="en-US" cap="none" sz="90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5600960"/>
        <c:crosses val="autoZero"/>
        <c:crossBetween val="midCat"/>
        <c:dispUnits/>
        <c:majorUnit val="0.2"/>
      </c:valAx>
      <c:valAx>
        <c:axId val="15600960"/>
        <c:scaling>
          <c:orientation val="minMax"/>
          <c:max val="1"/>
        </c:scaling>
        <c:axPos val="l"/>
        <c:title>
          <c:tx>
            <c:rich>
              <a:bodyPr vert="horz" rot="-5400000" anchor="ctr"/>
              <a:lstStyle/>
              <a:p>
                <a:pPr algn="ctr">
                  <a:defRPr/>
                </a:pPr>
                <a:r>
                  <a:rPr lang="en-US" cap="none" sz="90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53929223"/>
        <c:crosses val="autoZero"/>
        <c:crossBetween val="midCat"/>
        <c:dispUnits/>
      </c:valAx>
      <c:spPr>
        <a:noFill/>
        <a:ln>
          <a:noFill/>
        </a:ln>
      </c:spPr>
    </c:plotArea>
    <c:legend>
      <c:legendPos val="r"/>
      <c:layout>
        <c:manualLayout>
          <c:xMode val="edge"/>
          <c:yMode val="edge"/>
          <c:x val="0.545"/>
          <c:y val="0.02525"/>
          <c:w val="0.19675"/>
          <c:h val="0.246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4</xdr:row>
      <xdr:rowOff>66675</xdr:rowOff>
    </xdr:from>
    <xdr:to>
      <xdr:col>25</xdr:col>
      <xdr:colOff>247650</xdr:colOff>
      <xdr:row>16</xdr:row>
      <xdr:rowOff>47625</xdr:rowOff>
    </xdr:to>
    <xdr:graphicFrame>
      <xdr:nvGraphicFramePr>
        <xdr:cNvPr id="1" name="Chart 7"/>
        <xdr:cNvGraphicFramePr/>
      </xdr:nvGraphicFramePr>
      <xdr:xfrm>
        <a:off x="18792825" y="752475"/>
        <a:ext cx="4238625" cy="2057400"/>
      </xdr:xfrm>
      <a:graphic>
        <a:graphicData uri="http://schemas.openxmlformats.org/drawingml/2006/chart">
          <c:chart xmlns:c="http://schemas.openxmlformats.org/drawingml/2006/chart" r:id="rId1"/>
        </a:graphicData>
      </a:graphic>
    </xdr:graphicFrame>
    <xdr:clientData/>
  </xdr:twoCellAnchor>
  <xdr:twoCellAnchor>
    <xdr:from>
      <xdr:col>20</xdr:col>
      <xdr:colOff>152400</xdr:colOff>
      <xdr:row>25</xdr:row>
      <xdr:rowOff>19050</xdr:rowOff>
    </xdr:from>
    <xdr:to>
      <xdr:col>25</xdr:col>
      <xdr:colOff>161925</xdr:colOff>
      <xdr:row>37</xdr:row>
      <xdr:rowOff>114300</xdr:rowOff>
    </xdr:to>
    <xdr:graphicFrame>
      <xdr:nvGraphicFramePr>
        <xdr:cNvPr id="2" name="Chart 8"/>
        <xdr:cNvGraphicFramePr/>
      </xdr:nvGraphicFramePr>
      <xdr:xfrm>
        <a:off x="18745200" y="4343400"/>
        <a:ext cx="4200525" cy="215265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4</xdr:row>
      <xdr:rowOff>47625</xdr:rowOff>
    </xdr:from>
    <xdr:to>
      <xdr:col>14</xdr:col>
      <xdr:colOff>1171575</xdr:colOff>
      <xdr:row>16</xdr:row>
      <xdr:rowOff>38100</xdr:rowOff>
    </xdr:to>
    <xdr:graphicFrame>
      <xdr:nvGraphicFramePr>
        <xdr:cNvPr id="3" name="Chart 10"/>
        <xdr:cNvGraphicFramePr/>
      </xdr:nvGraphicFramePr>
      <xdr:xfrm>
        <a:off x="7496175" y="733425"/>
        <a:ext cx="7277100" cy="206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3</xdr:row>
      <xdr:rowOff>19050</xdr:rowOff>
    </xdr:from>
    <xdr:to>
      <xdr:col>21</xdr:col>
      <xdr:colOff>4286250</xdr:colOff>
      <xdr:row>17</xdr:row>
      <xdr:rowOff>104775</xdr:rowOff>
    </xdr:to>
    <xdr:graphicFrame>
      <xdr:nvGraphicFramePr>
        <xdr:cNvPr id="1" name="Chart 8"/>
        <xdr:cNvGraphicFramePr/>
      </xdr:nvGraphicFramePr>
      <xdr:xfrm>
        <a:off x="19097625" y="533400"/>
        <a:ext cx="4162425" cy="2514600"/>
      </xdr:xfrm>
      <a:graphic>
        <a:graphicData uri="http://schemas.openxmlformats.org/drawingml/2006/chart">
          <c:chart xmlns:c="http://schemas.openxmlformats.org/drawingml/2006/chart" r:id="rId1"/>
        </a:graphicData>
      </a:graphic>
    </xdr:graphicFrame>
    <xdr:clientData/>
  </xdr:twoCellAnchor>
  <xdr:twoCellAnchor>
    <xdr:from>
      <xdr:col>21</xdr:col>
      <xdr:colOff>133350</xdr:colOff>
      <xdr:row>22</xdr:row>
      <xdr:rowOff>38100</xdr:rowOff>
    </xdr:from>
    <xdr:to>
      <xdr:col>21</xdr:col>
      <xdr:colOff>4295775</xdr:colOff>
      <xdr:row>36</xdr:row>
      <xdr:rowOff>114300</xdr:rowOff>
    </xdr:to>
    <xdr:graphicFrame>
      <xdr:nvGraphicFramePr>
        <xdr:cNvPr id="2" name="Chart 9"/>
        <xdr:cNvGraphicFramePr/>
      </xdr:nvGraphicFramePr>
      <xdr:xfrm>
        <a:off x="19116675" y="3857625"/>
        <a:ext cx="4162425" cy="24765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41</xdr:row>
      <xdr:rowOff>161925</xdr:rowOff>
    </xdr:from>
    <xdr:to>
      <xdr:col>21</xdr:col>
      <xdr:colOff>4238625</xdr:colOff>
      <xdr:row>56</xdr:row>
      <xdr:rowOff>66675</xdr:rowOff>
    </xdr:to>
    <xdr:graphicFrame>
      <xdr:nvGraphicFramePr>
        <xdr:cNvPr id="3" name="Chart 10"/>
        <xdr:cNvGraphicFramePr/>
      </xdr:nvGraphicFramePr>
      <xdr:xfrm>
        <a:off x="19050000" y="7239000"/>
        <a:ext cx="4162425" cy="2476500"/>
      </xdr:xfrm>
      <a:graphic>
        <a:graphicData uri="http://schemas.openxmlformats.org/drawingml/2006/chart">
          <c:chart xmlns:c="http://schemas.openxmlformats.org/drawingml/2006/chart" r:id="rId3"/>
        </a:graphicData>
      </a:graphic>
    </xdr:graphicFrame>
    <xdr:clientData/>
  </xdr:twoCellAnchor>
  <xdr:twoCellAnchor>
    <xdr:from>
      <xdr:col>21</xdr:col>
      <xdr:colOff>95250</xdr:colOff>
      <xdr:row>68</xdr:row>
      <xdr:rowOff>66675</xdr:rowOff>
    </xdr:from>
    <xdr:to>
      <xdr:col>21</xdr:col>
      <xdr:colOff>4667250</xdr:colOff>
      <xdr:row>83</xdr:row>
      <xdr:rowOff>114300</xdr:rowOff>
    </xdr:to>
    <xdr:graphicFrame>
      <xdr:nvGraphicFramePr>
        <xdr:cNvPr id="4" name="Chart 14"/>
        <xdr:cNvGraphicFramePr/>
      </xdr:nvGraphicFramePr>
      <xdr:xfrm>
        <a:off x="19078575" y="11801475"/>
        <a:ext cx="4572000" cy="2619375"/>
      </xdr:xfrm>
      <a:graphic>
        <a:graphicData uri="http://schemas.openxmlformats.org/drawingml/2006/chart">
          <c:chart xmlns:c="http://schemas.openxmlformats.org/drawingml/2006/chart" r:id="rId4"/>
        </a:graphicData>
      </a:graphic>
    </xdr:graphicFrame>
    <xdr:clientData/>
  </xdr:twoCellAnchor>
  <xdr:twoCellAnchor>
    <xdr:from>
      <xdr:col>9</xdr:col>
      <xdr:colOff>57150</xdr:colOff>
      <xdr:row>5</xdr:row>
      <xdr:rowOff>66675</xdr:rowOff>
    </xdr:from>
    <xdr:to>
      <xdr:col>14</xdr:col>
      <xdr:colOff>809625</xdr:colOff>
      <xdr:row>16</xdr:row>
      <xdr:rowOff>114300</xdr:rowOff>
    </xdr:to>
    <xdr:graphicFrame>
      <xdr:nvGraphicFramePr>
        <xdr:cNvPr id="5" name="Chart 73"/>
        <xdr:cNvGraphicFramePr/>
      </xdr:nvGraphicFramePr>
      <xdr:xfrm>
        <a:off x="7886700" y="923925"/>
        <a:ext cx="5610225" cy="1952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4</xdr:row>
      <xdr:rowOff>66675</xdr:rowOff>
    </xdr:from>
    <xdr:to>
      <xdr:col>25</xdr:col>
      <xdr:colOff>733425</xdr:colOff>
      <xdr:row>16</xdr:row>
      <xdr:rowOff>28575</xdr:rowOff>
    </xdr:to>
    <xdr:graphicFrame>
      <xdr:nvGraphicFramePr>
        <xdr:cNvPr id="1" name="Chart 1"/>
        <xdr:cNvGraphicFramePr/>
      </xdr:nvGraphicFramePr>
      <xdr:xfrm>
        <a:off x="21145500" y="752475"/>
        <a:ext cx="3895725" cy="2038350"/>
      </xdr:xfrm>
      <a:graphic>
        <a:graphicData uri="http://schemas.openxmlformats.org/drawingml/2006/chart">
          <c:chart xmlns:c="http://schemas.openxmlformats.org/drawingml/2006/chart" r:id="rId1"/>
        </a:graphicData>
      </a:graphic>
    </xdr:graphicFrame>
    <xdr:clientData/>
  </xdr:twoCellAnchor>
  <xdr:twoCellAnchor>
    <xdr:from>
      <xdr:col>21</xdr:col>
      <xdr:colOff>152400</xdr:colOff>
      <xdr:row>21</xdr:row>
      <xdr:rowOff>19050</xdr:rowOff>
    </xdr:from>
    <xdr:to>
      <xdr:col>25</xdr:col>
      <xdr:colOff>838200</xdr:colOff>
      <xdr:row>33</xdr:row>
      <xdr:rowOff>161925</xdr:rowOff>
    </xdr:to>
    <xdr:graphicFrame>
      <xdr:nvGraphicFramePr>
        <xdr:cNvPr id="2" name="Chart 2"/>
        <xdr:cNvGraphicFramePr/>
      </xdr:nvGraphicFramePr>
      <xdr:xfrm>
        <a:off x="21107400" y="3657600"/>
        <a:ext cx="4038600" cy="2200275"/>
      </xdr:xfrm>
      <a:graphic>
        <a:graphicData uri="http://schemas.openxmlformats.org/drawingml/2006/chart">
          <c:chart xmlns:c="http://schemas.openxmlformats.org/drawingml/2006/chart" r:id="rId2"/>
        </a:graphicData>
      </a:graphic>
    </xdr:graphicFrame>
    <xdr:clientData/>
  </xdr:twoCellAnchor>
  <xdr:twoCellAnchor>
    <xdr:from>
      <xdr:col>15</xdr:col>
      <xdr:colOff>180975</xdr:colOff>
      <xdr:row>4</xdr:row>
      <xdr:rowOff>9525</xdr:rowOff>
    </xdr:from>
    <xdr:to>
      <xdr:col>15</xdr:col>
      <xdr:colOff>5476875</xdr:colOff>
      <xdr:row>18</xdr:row>
      <xdr:rowOff>57150</xdr:rowOff>
    </xdr:to>
    <xdr:graphicFrame>
      <xdr:nvGraphicFramePr>
        <xdr:cNvPr id="3" name="Chart 49"/>
        <xdr:cNvGraphicFramePr/>
      </xdr:nvGraphicFramePr>
      <xdr:xfrm>
        <a:off x="11163300" y="695325"/>
        <a:ext cx="5295900" cy="24860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5</xdr:row>
      <xdr:rowOff>28575</xdr:rowOff>
    </xdr:from>
    <xdr:to>
      <xdr:col>21</xdr:col>
      <xdr:colOff>790575</xdr:colOff>
      <xdr:row>18</xdr:row>
      <xdr:rowOff>152400</xdr:rowOff>
    </xdr:to>
    <xdr:graphicFrame>
      <xdr:nvGraphicFramePr>
        <xdr:cNvPr id="1" name="Chart 1"/>
        <xdr:cNvGraphicFramePr/>
      </xdr:nvGraphicFramePr>
      <xdr:xfrm>
        <a:off x="17173575" y="904875"/>
        <a:ext cx="4943475" cy="2476500"/>
      </xdr:xfrm>
      <a:graphic>
        <a:graphicData uri="http://schemas.openxmlformats.org/drawingml/2006/chart">
          <c:chart xmlns:c="http://schemas.openxmlformats.org/drawingml/2006/chart" r:id="rId1"/>
        </a:graphicData>
      </a:graphic>
    </xdr:graphicFrame>
    <xdr:clientData/>
  </xdr:twoCellAnchor>
  <xdr:twoCellAnchor>
    <xdr:from>
      <xdr:col>14</xdr:col>
      <xdr:colOff>104775</xdr:colOff>
      <xdr:row>3</xdr:row>
      <xdr:rowOff>114300</xdr:rowOff>
    </xdr:from>
    <xdr:to>
      <xdr:col>14</xdr:col>
      <xdr:colOff>5143500</xdr:colOff>
      <xdr:row>17</xdr:row>
      <xdr:rowOff>28575</xdr:rowOff>
    </xdr:to>
    <xdr:graphicFrame>
      <xdr:nvGraphicFramePr>
        <xdr:cNvPr id="2" name="Chart 11"/>
        <xdr:cNvGraphicFramePr/>
      </xdr:nvGraphicFramePr>
      <xdr:xfrm>
        <a:off x="11201400" y="647700"/>
        <a:ext cx="5029200" cy="2428875"/>
      </xdr:xfrm>
      <a:graphic>
        <a:graphicData uri="http://schemas.openxmlformats.org/drawingml/2006/chart">
          <c:chart xmlns:c="http://schemas.openxmlformats.org/drawingml/2006/chart" r:id="rId2"/>
        </a:graphicData>
      </a:graphic>
    </xdr:graphicFrame>
    <xdr:clientData/>
  </xdr:twoCellAnchor>
  <xdr:twoCellAnchor editAs="oneCell">
    <xdr:from>
      <xdr:col>25</xdr:col>
      <xdr:colOff>9525</xdr:colOff>
      <xdr:row>18</xdr:row>
      <xdr:rowOff>114300</xdr:rowOff>
    </xdr:from>
    <xdr:to>
      <xdr:col>30</xdr:col>
      <xdr:colOff>790575</xdr:colOff>
      <xdr:row>32</xdr:row>
      <xdr:rowOff>66675</xdr:rowOff>
    </xdr:to>
    <xdr:pic>
      <xdr:nvPicPr>
        <xdr:cNvPr id="3" name="Picture 23"/>
        <xdr:cNvPicPr preferRelativeResize="1">
          <a:picLocks noChangeAspect="1"/>
        </xdr:cNvPicPr>
      </xdr:nvPicPr>
      <xdr:blipFill>
        <a:blip r:embed="rId3"/>
        <a:stretch>
          <a:fillRect/>
        </a:stretch>
      </xdr:blipFill>
      <xdr:spPr>
        <a:xfrm>
          <a:off x="24069675" y="3343275"/>
          <a:ext cx="4972050" cy="2486025"/>
        </a:xfrm>
        <a:prstGeom prst="rect">
          <a:avLst/>
        </a:prstGeom>
        <a:noFill/>
        <a:ln w="9525" cmpd="sng">
          <a:noFill/>
        </a:ln>
      </xdr:spPr>
    </xdr:pic>
    <xdr:clientData/>
  </xdr:twoCellAnchor>
  <xdr:twoCellAnchor editAs="oneCell">
    <xdr:from>
      <xdr:col>25</xdr:col>
      <xdr:colOff>0</xdr:colOff>
      <xdr:row>5</xdr:row>
      <xdr:rowOff>0</xdr:rowOff>
    </xdr:from>
    <xdr:to>
      <xdr:col>30</xdr:col>
      <xdr:colOff>781050</xdr:colOff>
      <xdr:row>18</xdr:row>
      <xdr:rowOff>152400</xdr:rowOff>
    </xdr:to>
    <xdr:pic>
      <xdr:nvPicPr>
        <xdr:cNvPr id="4" name="Picture 25"/>
        <xdr:cNvPicPr preferRelativeResize="1">
          <a:picLocks noChangeAspect="1"/>
        </xdr:cNvPicPr>
      </xdr:nvPicPr>
      <xdr:blipFill>
        <a:blip r:embed="rId4"/>
        <a:stretch>
          <a:fillRect/>
        </a:stretch>
      </xdr:blipFill>
      <xdr:spPr>
        <a:xfrm>
          <a:off x="24060150" y="876300"/>
          <a:ext cx="4972050" cy="2505075"/>
        </a:xfrm>
        <a:prstGeom prst="rect">
          <a:avLst/>
        </a:prstGeom>
        <a:noFill/>
        <a:ln w="9525" cmpd="sng">
          <a:noFill/>
        </a:ln>
      </xdr:spPr>
    </xdr:pic>
    <xdr:clientData/>
  </xdr:twoCellAnchor>
  <xdr:twoCellAnchor editAs="oneCell">
    <xdr:from>
      <xdr:col>25</xdr:col>
      <xdr:colOff>0</xdr:colOff>
      <xdr:row>33</xdr:row>
      <xdr:rowOff>0</xdr:rowOff>
    </xdr:from>
    <xdr:to>
      <xdr:col>30</xdr:col>
      <xdr:colOff>781050</xdr:colOff>
      <xdr:row>46</xdr:row>
      <xdr:rowOff>152400</xdr:rowOff>
    </xdr:to>
    <xdr:pic>
      <xdr:nvPicPr>
        <xdr:cNvPr id="5" name="Picture 26"/>
        <xdr:cNvPicPr preferRelativeResize="1">
          <a:picLocks noChangeAspect="1"/>
        </xdr:cNvPicPr>
      </xdr:nvPicPr>
      <xdr:blipFill>
        <a:blip r:embed="rId5"/>
        <a:stretch>
          <a:fillRect/>
        </a:stretch>
      </xdr:blipFill>
      <xdr:spPr>
        <a:xfrm>
          <a:off x="24060150" y="5943600"/>
          <a:ext cx="4972050" cy="2505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31</xdr:row>
      <xdr:rowOff>38100</xdr:rowOff>
    </xdr:from>
    <xdr:to>
      <xdr:col>13</xdr:col>
      <xdr:colOff>438150</xdr:colOff>
      <xdr:row>44</xdr:row>
      <xdr:rowOff>104775</xdr:rowOff>
    </xdr:to>
    <xdr:graphicFrame>
      <xdr:nvGraphicFramePr>
        <xdr:cNvPr id="1" name="Chart 5"/>
        <xdr:cNvGraphicFramePr/>
      </xdr:nvGraphicFramePr>
      <xdr:xfrm>
        <a:off x="5143500" y="5391150"/>
        <a:ext cx="3952875" cy="229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0</xdr:row>
      <xdr:rowOff>104775</xdr:rowOff>
    </xdr:from>
    <xdr:to>
      <xdr:col>20</xdr:col>
      <xdr:colOff>352425</xdr:colOff>
      <xdr:row>12</xdr:row>
      <xdr:rowOff>152400</xdr:rowOff>
    </xdr:to>
    <xdr:graphicFrame>
      <xdr:nvGraphicFramePr>
        <xdr:cNvPr id="1" name="Chart 7"/>
        <xdr:cNvGraphicFramePr/>
      </xdr:nvGraphicFramePr>
      <xdr:xfrm>
        <a:off x="13230225" y="104775"/>
        <a:ext cx="5000625" cy="2143125"/>
      </xdr:xfrm>
      <a:graphic>
        <a:graphicData uri="http://schemas.openxmlformats.org/drawingml/2006/chart">
          <c:chart xmlns:c="http://schemas.openxmlformats.org/drawingml/2006/chart" r:id="rId1"/>
        </a:graphicData>
      </a:graphic>
    </xdr:graphicFrame>
    <xdr:clientData/>
  </xdr:twoCellAnchor>
  <xdr:twoCellAnchor>
    <xdr:from>
      <xdr:col>14</xdr:col>
      <xdr:colOff>228600</xdr:colOff>
      <xdr:row>22</xdr:row>
      <xdr:rowOff>0</xdr:rowOff>
    </xdr:from>
    <xdr:to>
      <xdr:col>20</xdr:col>
      <xdr:colOff>409575</xdr:colOff>
      <xdr:row>36</xdr:row>
      <xdr:rowOff>38100</xdr:rowOff>
    </xdr:to>
    <xdr:graphicFrame>
      <xdr:nvGraphicFramePr>
        <xdr:cNvPr id="2" name="Chart 8"/>
        <xdr:cNvGraphicFramePr/>
      </xdr:nvGraphicFramePr>
      <xdr:xfrm>
        <a:off x="13077825" y="3838575"/>
        <a:ext cx="5210175" cy="2476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xdr:row>
      <xdr:rowOff>28575</xdr:rowOff>
    </xdr:from>
    <xdr:to>
      <xdr:col>18</xdr:col>
      <xdr:colOff>666750</xdr:colOff>
      <xdr:row>13</xdr:row>
      <xdr:rowOff>95250</xdr:rowOff>
    </xdr:to>
    <xdr:graphicFrame>
      <xdr:nvGraphicFramePr>
        <xdr:cNvPr id="1" name="Chart 3"/>
        <xdr:cNvGraphicFramePr/>
      </xdr:nvGraphicFramePr>
      <xdr:xfrm>
        <a:off x="8077200" y="200025"/>
        <a:ext cx="5505450" cy="2124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U55"/>
  <sheetViews>
    <sheetView zoomScale="75" zoomScaleNormal="75" workbookViewId="0" topLeftCell="A1">
      <selection activeCell="A1" sqref="A1:B1"/>
    </sheetView>
  </sheetViews>
  <sheetFormatPr defaultColWidth="8.796875" defaultRowHeight="14.25"/>
  <cols>
    <col min="1" max="3" width="5.59765625" style="0" customWidth="1"/>
    <col min="4" max="6" width="7.59765625" style="0" customWidth="1"/>
    <col min="7" max="15" width="12.8984375" style="0" customWidth="1"/>
    <col min="17" max="17" width="9.09765625" style="0" bestFit="1" customWidth="1"/>
    <col min="18" max="20" width="7.19921875" style="0" customWidth="1"/>
    <col min="30" max="31" width="8" style="0" bestFit="1" customWidth="1"/>
  </cols>
  <sheetData>
    <row r="1" spans="1:21" ht="13.5">
      <c r="A1" t="s">
        <v>207</v>
      </c>
      <c r="B1" t="s">
        <v>418</v>
      </c>
      <c r="Q1" t="s">
        <v>7</v>
      </c>
      <c r="U1" t="s">
        <v>6</v>
      </c>
    </row>
    <row r="2" spans="1:14" ht="13.5">
      <c r="A2" s="39"/>
      <c r="B2" s="39"/>
      <c r="C2" s="5"/>
      <c r="D2" s="159" t="s">
        <v>30</v>
      </c>
      <c r="E2" s="159"/>
      <c r="F2" s="159"/>
      <c r="J2" t="s">
        <v>53</v>
      </c>
      <c r="K2">
        <v>0.6</v>
      </c>
      <c r="M2" s="44" t="s">
        <v>55</v>
      </c>
      <c r="N2" s="1">
        <f>NORMSDIST(K2/2)</f>
        <v>0.61791135747263</v>
      </c>
    </row>
    <row r="3" spans="1:18" ht="13.5">
      <c r="A3" s="19" t="s">
        <v>28</v>
      </c>
      <c r="B3" s="19" t="s">
        <v>0</v>
      </c>
      <c r="C3" s="31" t="s">
        <v>184</v>
      </c>
      <c r="D3" s="42" t="s">
        <v>33</v>
      </c>
      <c r="E3" s="42" t="s">
        <v>34</v>
      </c>
      <c r="F3" s="42" t="s">
        <v>29</v>
      </c>
      <c r="J3" t="s">
        <v>28</v>
      </c>
      <c r="K3">
        <v>9</v>
      </c>
      <c r="M3" s="44" t="s">
        <v>56</v>
      </c>
      <c r="N3" s="1">
        <f>NORMSDIST(K2)</f>
        <v>0.7257469350614476</v>
      </c>
      <c r="Q3" s="3" t="s">
        <v>50</v>
      </c>
      <c r="R3">
        <v>0.05</v>
      </c>
    </row>
    <row r="4" spans="1:20" ht="13.5">
      <c r="A4" s="52">
        <v>9</v>
      </c>
      <c r="B4" s="39">
        <v>0.05</v>
      </c>
      <c r="C4" s="11">
        <v>0.6</v>
      </c>
      <c r="D4" s="55">
        <f>1-NORMSDIST(NORMSINV(1-B4)-C4*SQRT(A4))</f>
        <v>0.561647299407976</v>
      </c>
      <c r="E4" s="12">
        <f>NORMSDIST(-NORMSINV(1-B4)-C4*SQRT(A4))</f>
        <v>0.0002857333337268342</v>
      </c>
      <c r="F4" s="12">
        <f>NORMSDIST(-NORMSINV(1-B4/2)-C4*SQRT(A4))+1-NORMSDIST(NORMSINV(1-B4/2)-C4*SQRT(A4))</f>
        <v>0.4365408517491767</v>
      </c>
      <c r="H4" t="s">
        <v>79</v>
      </c>
      <c r="J4" t="s">
        <v>54</v>
      </c>
      <c r="K4">
        <v>0.05</v>
      </c>
      <c r="M4" t="s">
        <v>57</v>
      </c>
      <c r="N4" s="13">
        <f>NORMSDIST(K2*SQRT(K3)-NORMSINV(1-K4))</f>
        <v>0.561647299407976</v>
      </c>
      <c r="Q4" s="21" t="s">
        <v>52</v>
      </c>
      <c r="R4" s="159" t="s">
        <v>51</v>
      </c>
      <c r="S4" s="159"/>
      <c r="T4" s="159"/>
    </row>
    <row r="5" spans="1:20" ht="13.5">
      <c r="A5" s="30">
        <v>9</v>
      </c>
      <c r="B5" s="30">
        <v>0.05</v>
      </c>
      <c r="C5" s="8">
        <v>-0.6</v>
      </c>
      <c r="D5" s="59">
        <f>1-NORMSDIST(NORMSINV(1-B5)-C5*SQRT(A5))</f>
        <v>0.0002857333337268342</v>
      </c>
      <c r="E5" s="56">
        <f>NORMSDIST(-NORMSINV(1-B5)-C5*SQRT(A5))</f>
        <v>0.561647299407976</v>
      </c>
      <c r="F5" s="13">
        <f>NORMSDIST(-NORMSINV(1-B5/2)-C5*SQRT(A5))+1-NORMSDIST(NORMSINV(1-B5/2)-C5*SQRT(A5))</f>
        <v>0.4365408517491768</v>
      </c>
      <c r="H5" t="s">
        <v>80</v>
      </c>
      <c r="Q5" s="16"/>
      <c r="R5" s="4">
        <v>9</v>
      </c>
      <c r="S5" s="4">
        <v>16</v>
      </c>
      <c r="T5" s="4">
        <v>25</v>
      </c>
    </row>
    <row r="6" spans="1:20" ht="13.5">
      <c r="A6" s="54">
        <v>9</v>
      </c>
      <c r="B6" s="40">
        <v>0.05</v>
      </c>
      <c r="C6" s="14">
        <v>0.6</v>
      </c>
      <c r="D6" s="60">
        <f>1-NORMSDIST(NORMSINV(1-B6)-C6*SQRT(A6))</f>
        <v>0.561647299407976</v>
      </c>
      <c r="E6" s="15">
        <f>NORMSDIST(-NORMSINV(1-B6)-C6*SQRT(A6))</f>
        <v>0.0002857333337268342</v>
      </c>
      <c r="F6" s="57">
        <f>NORMSDIST(-NORMSINV(1-B6/2)-C6*SQRT(A6))+1-NORMSDIST(NORMSINV(1-B6/2)-C6*SQRT(A6))</f>
        <v>0.4365408517491767</v>
      </c>
      <c r="H6" t="s">
        <v>78</v>
      </c>
      <c r="Q6" s="7">
        <v>-1</v>
      </c>
      <c r="R6" s="1">
        <f aca="true" t="shared" si="0" ref="R6:T20">NORMSDIST($Q6*SQRT(R$5)-NORMSINV(1-$R$3/2))+NORMSDIST(-$Q6*SQRT(R$5)-NORMSINV(1-$R$3/2))</f>
        <v>0.8508394220953829</v>
      </c>
      <c r="S6" s="1">
        <f t="shared" si="0"/>
        <v>0.9793268447101473</v>
      </c>
      <c r="T6" s="1">
        <f t="shared" si="0"/>
        <v>0.9988171929981775</v>
      </c>
    </row>
    <row r="7" spans="17:20" ht="13.5">
      <c r="Q7" s="8">
        <v>-0.8</v>
      </c>
      <c r="R7" s="1">
        <f t="shared" si="0"/>
        <v>0.6700520228606273</v>
      </c>
      <c r="S7" s="1">
        <f t="shared" si="0"/>
        <v>0.8925195588134465</v>
      </c>
      <c r="T7" s="1">
        <f t="shared" si="0"/>
        <v>0.9793268447101473</v>
      </c>
    </row>
    <row r="8" spans="1:20" ht="13.5">
      <c r="A8" t="s">
        <v>90</v>
      </c>
      <c r="B8" s="35" t="s">
        <v>185</v>
      </c>
      <c r="Q8" s="7">
        <v>-0.6</v>
      </c>
      <c r="R8" s="1">
        <f t="shared" si="0"/>
        <v>0.4365408517491768</v>
      </c>
      <c r="S8" s="1">
        <f t="shared" si="0"/>
        <v>0.6700520228606273</v>
      </c>
      <c r="T8" s="1">
        <f t="shared" si="0"/>
        <v>0.8508394220953829</v>
      </c>
    </row>
    <row r="9" spans="1:20" ht="13.5">
      <c r="A9" t="s">
        <v>91</v>
      </c>
      <c r="B9" s="35" t="s">
        <v>186</v>
      </c>
      <c r="Q9" s="8">
        <v>-0.4</v>
      </c>
      <c r="R9" s="1">
        <f t="shared" si="0"/>
        <v>0.22442786949893767</v>
      </c>
      <c r="S9" s="1">
        <f t="shared" si="0"/>
        <v>0.35962367232578873</v>
      </c>
      <c r="T9" s="1">
        <f t="shared" si="0"/>
        <v>0.5160065098312631</v>
      </c>
    </row>
    <row r="10" spans="1:20" ht="13.5">
      <c r="A10" t="s">
        <v>92</v>
      </c>
      <c r="B10" s="35" t="s">
        <v>187</v>
      </c>
      <c r="Q10" s="8">
        <v>-0.2</v>
      </c>
      <c r="R10" s="1">
        <f t="shared" si="0"/>
        <v>0.09215539947377904</v>
      </c>
      <c r="S10" s="1">
        <f t="shared" si="0"/>
        <v>0.12592284969734968</v>
      </c>
      <c r="T10" s="1">
        <f t="shared" si="0"/>
        <v>0.1700758492408745</v>
      </c>
    </row>
    <row r="11" spans="2:20" ht="13.5">
      <c r="B11" s="35" t="s">
        <v>188</v>
      </c>
      <c r="Q11" s="8">
        <v>-0.1</v>
      </c>
      <c r="R11" s="1">
        <f t="shared" si="0"/>
        <v>0.06037291692761082</v>
      </c>
      <c r="S11" s="1">
        <f t="shared" si="0"/>
        <v>0.06852295927102359</v>
      </c>
      <c r="T11" s="1">
        <f t="shared" si="0"/>
        <v>0.07909803358641743</v>
      </c>
    </row>
    <row r="12" spans="17:20" ht="13.5">
      <c r="Q12" s="45">
        <v>-0.05</v>
      </c>
      <c r="R12" s="1">
        <f t="shared" si="0"/>
        <v>0.05258164799181331</v>
      </c>
      <c r="S12" s="1">
        <f t="shared" si="0"/>
        <v>0.05459494320671665</v>
      </c>
      <c r="T12" s="1">
        <f t="shared" si="0"/>
        <v>0.05719038622126371</v>
      </c>
    </row>
    <row r="13" spans="1:20" ht="13.5">
      <c r="A13" s="39"/>
      <c r="B13" s="39"/>
      <c r="C13" s="5"/>
      <c r="D13" s="159" t="s">
        <v>30</v>
      </c>
      <c r="E13" s="159"/>
      <c r="F13" s="159"/>
      <c r="Q13" s="46">
        <v>0</v>
      </c>
      <c r="R13" s="10">
        <f t="shared" si="0"/>
        <v>0.05000019930881017</v>
      </c>
      <c r="S13" s="10">
        <f t="shared" si="0"/>
        <v>0.05000019930881017</v>
      </c>
      <c r="T13" s="10">
        <f t="shared" si="0"/>
        <v>0.05000019930881017</v>
      </c>
    </row>
    <row r="14" spans="1:20" ht="13.5">
      <c r="A14" s="19" t="s">
        <v>28</v>
      </c>
      <c r="B14" s="19" t="s">
        <v>0</v>
      </c>
      <c r="C14" s="31" t="s">
        <v>184</v>
      </c>
      <c r="D14" s="42" t="s">
        <v>33</v>
      </c>
      <c r="E14" s="42" t="s">
        <v>34</v>
      </c>
      <c r="F14" s="42" t="s">
        <v>29</v>
      </c>
      <c r="Q14" s="47">
        <v>0.05</v>
      </c>
      <c r="R14" s="12">
        <f t="shared" si="0"/>
        <v>0.05258164799181331</v>
      </c>
      <c r="S14" s="12">
        <f t="shared" si="0"/>
        <v>0.05459494320671665</v>
      </c>
      <c r="T14" s="12">
        <f t="shared" si="0"/>
        <v>0.05719038622126371</v>
      </c>
    </row>
    <row r="15" spans="1:20" ht="14.25">
      <c r="A15" s="52">
        <v>44</v>
      </c>
      <c r="B15" s="39">
        <v>0.05</v>
      </c>
      <c r="C15" s="11">
        <v>0.5</v>
      </c>
      <c r="D15" s="55">
        <f>NORMSDIST(C15*SQRT(A15)-NORMSINV(1-B15))</f>
        <v>0.9527153574968515</v>
      </c>
      <c r="E15" s="12">
        <f>NORMSDIST(-C15*SQRT(A15)-NORMSINV(1-B15))</f>
        <v>3.5032712530913557E-07</v>
      </c>
      <c r="F15" s="12">
        <f>NORMSDIST(C15*SQRT(A15)-NORMSINV(1-B15/2))+NORMSDIST(-C15*SQRT(A15)-NORMSINV(1-B15/2))</f>
        <v>0.9125559621001446</v>
      </c>
      <c r="H15" t="s">
        <v>82</v>
      </c>
      <c r="Q15" s="7">
        <v>0.1</v>
      </c>
      <c r="R15" s="13">
        <f t="shared" si="0"/>
        <v>0.06037291692761082</v>
      </c>
      <c r="S15" s="13">
        <f t="shared" si="0"/>
        <v>0.06852295927102359</v>
      </c>
      <c r="T15" s="13">
        <f t="shared" si="0"/>
        <v>0.07909803358641743</v>
      </c>
    </row>
    <row r="16" spans="1:20" ht="14.25">
      <c r="A16" s="53">
        <v>25</v>
      </c>
      <c r="B16" s="30">
        <v>0.05</v>
      </c>
      <c r="C16" s="7">
        <v>-0.5</v>
      </c>
      <c r="D16" s="59">
        <f>NORMSDIST(C16*SQRT(A16)-NORMSINV(1-B16))</f>
        <v>1.7011430273106143E-05</v>
      </c>
      <c r="E16" s="56">
        <f>NORMSDIST(-C16*SQRT(A16)-NORMSINV(1-B16))</f>
        <v>0.8037651628335896</v>
      </c>
      <c r="F16" s="13">
        <f>NORMSDIST(C16*SQRT(A16)-NORMSINV(1-B16/2))+NORMSDIST(-C16*SQRT(A16)-NORMSINV(1-B16/2))</f>
        <v>0.7054190324129005</v>
      </c>
      <c r="H16" t="s">
        <v>83</v>
      </c>
      <c r="Q16" s="7">
        <v>0.2</v>
      </c>
      <c r="R16" s="13">
        <f t="shared" si="0"/>
        <v>0.09215539947377904</v>
      </c>
      <c r="S16" s="13">
        <f t="shared" si="0"/>
        <v>0.12592284969734968</v>
      </c>
      <c r="T16" s="13">
        <f t="shared" si="0"/>
        <v>0.1700758492408745</v>
      </c>
    </row>
    <row r="17" spans="1:20" ht="14.25">
      <c r="A17" s="54">
        <v>11</v>
      </c>
      <c r="B17" s="40">
        <v>0.05</v>
      </c>
      <c r="C17" s="14">
        <v>1</v>
      </c>
      <c r="D17" s="60">
        <f>NORMSDIST(C17*SQRT(A17)-NORMSINV(1-B17))</f>
        <v>0.9527153574968515</v>
      </c>
      <c r="E17" s="15">
        <f>NORMSDIST(-C17*SQRT(A17)-NORMSINV(1-B17))</f>
        <v>3.5032712530913557E-07</v>
      </c>
      <c r="F17" s="57">
        <f>NORMSDIST(C17*SQRT(A17)-NORMSINV(1-B17/2))+NORMSDIST(-C17*SQRT(A17)-NORMSINV(1-B17/2))</f>
        <v>0.9125559621001446</v>
      </c>
      <c r="H17" t="s">
        <v>81</v>
      </c>
      <c r="Q17" s="8">
        <v>0.4</v>
      </c>
      <c r="R17" s="13">
        <f t="shared" si="0"/>
        <v>0.22442786949893767</v>
      </c>
      <c r="S17" s="13">
        <f t="shared" si="0"/>
        <v>0.35962367232578873</v>
      </c>
      <c r="T17" s="13">
        <f t="shared" si="0"/>
        <v>0.5160065098312631</v>
      </c>
    </row>
    <row r="18" spans="1:20" ht="14.25">
      <c r="A18" s="37"/>
      <c r="B18" s="30"/>
      <c r="C18" s="30"/>
      <c r="E18" s="13"/>
      <c r="F18" s="13"/>
      <c r="J18" s="2">
        <v>-2.5</v>
      </c>
      <c r="K18" s="17">
        <f aca="true" t="shared" si="1" ref="K18:K44">2+EXP(-($J18^2/2))</f>
        <v>2.0439369336234074</v>
      </c>
      <c r="L18" s="17">
        <f aca="true" t="shared" si="2" ref="L18:L44">2+EXP(-(($J18-$K$2)^2/2))</f>
        <v>2.008188701014374</v>
      </c>
      <c r="M18" s="17">
        <f aca="true" t="shared" si="3" ref="M18:M44">1.8*EXP(-($J18^2*$K$3/2))</f>
        <v>1.0983486019689583E-12</v>
      </c>
      <c r="N18" s="17">
        <f aca="true" t="shared" si="4" ref="N18:N44">1.8*EXP(-(($J18-$K$2)^2*$K$3/2))</f>
        <v>2.979940791777773E-19</v>
      </c>
      <c r="Q18" s="7">
        <v>0.6</v>
      </c>
      <c r="R18" s="13">
        <f t="shared" si="0"/>
        <v>0.4365408517491768</v>
      </c>
      <c r="S18" s="13">
        <f t="shared" si="0"/>
        <v>0.6700520228606273</v>
      </c>
      <c r="T18" s="13">
        <f t="shared" si="0"/>
        <v>0.8508394220953829</v>
      </c>
    </row>
    <row r="19" spans="1:20" ht="13.5">
      <c r="A19" s="39"/>
      <c r="B19" s="39"/>
      <c r="C19" s="5"/>
      <c r="D19" s="160" t="s">
        <v>2</v>
      </c>
      <c r="E19" s="159"/>
      <c r="J19" s="2">
        <v>-2.25</v>
      </c>
      <c r="K19" s="17">
        <f t="shared" si="1"/>
        <v>2.0795595087182277</v>
      </c>
      <c r="L19" s="17">
        <f t="shared" si="2"/>
        <v>2.017227471311635</v>
      </c>
      <c r="M19" s="17">
        <f t="shared" si="3"/>
        <v>2.2988007981231E-10</v>
      </c>
      <c r="N19" s="17">
        <f t="shared" si="4"/>
        <v>2.405837685297311E-16</v>
      </c>
      <c r="Q19" s="8">
        <v>0.8</v>
      </c>
      <c r="R19" s="13">
        <f t="shared" si="0"/>
        <v>0.6700520228606273</v>
      </c>
      <c r="S19" s="13">
        <f t="shared" si="0"/>
        <v>0.8925195588134465</v>
      </c>
      <c r="T19" s="13">
        <f t="shared" si="0"/>
        <v>0.9793268447101473</v>
      </c>
    </row>
    <row r="20" spans="1:20" ht="13.5">
      <c r="A20" s="4" t="s">
        <v>0</v>
      </c>
      <c r="B20" s="4" t="s">
        <v>1</v>
      </c>
      <c r="C20" s="31" t="s">
        <v>184</v>
      </c>
      <c r="D20" s="67" t="s">
        <v>58</v>
      </c>
      <c r="E20" s="4" t="s">
        <v>29</v>
      </c>
      <c r="J20" s="2">
        <v>-2</v>
      </c>
      <c r="K20" s="17">
        <f t="shared" si="1"/>
        <v>2.135335283236613</v>
      </c>
      <c r="L20" s="17">
        <f t="shared" si="2"/>
        <v>2.0340474547345995</v>
      </c>
      <c r="M20" s="17">
        <f t="shared" si="3"/>
        <v>2.7413963540482732E-08</v>
      </c>
      <c r="N20" s="17">
        <f t="shared" si="4"/>
        <v>1.1067113542868562E-13</v>
      </c>
      <c r="Q20" s="14">
        <v>1</v>
      </c>
      <c r="R20" s="15">
        <f t="shared" si="0"/>
        <v>0.8508394220953829</v>
      </c>
      <c r="S20" s="15">
        <f t="shared" si="0"/>
        <v>0.9793268447101473</v>
      </c>
      <c r="T20" s="15">
        <f t="shared" si="0"/>
        <v>0.9988171929981775</v>
      </c>
    </row>
    <row r="21" spans="1:14" ht="13.5">
      <c r="A21" s="39">
        <v>0.05</v>
      </c>
      <c r="B21" s="39">
        <v>0.05</v>
      </c>
      <c r="C21" s="5">
        <v>0.5</v>
      </c>
      <c r="D21" s="63">
        <f>ROUNDUP(((NORMSINV(1-A21)+NORMSINV(1-B21))/C21)^2,0)</f>
        <v>44</v>
      </c>
      <c r="E21" s="53">
        <f>ROUNDUP(((NORMSINV(1-A21/2)+NORMSINV(1-B21))/C21)^2,0)</f>
        <v>52</v>
      </c>
      <c r="H21" t="s">
        <v>82</v>
      </c>
      <c r="J21" s="2">
        <v>-1.75</v>
      </c>
      <c r="K21" s="17">
        <f t="shared" si="1"/>
        <v>2.216265166829887</v>
      </c>
      <c r="L21" s="17">
        <f t="shared" si="2"/>
        <v>2.0632127030752887</v>
      </c>
      <c r="M21" s="17">
        <f t="shared" si="3"/>
        <v>1.8627375799968756E-06</v>
      </c>
      <c r="N21" s="17">
        <f t="shared" si="4"/>
        <v>2.9007597569532926E-11</v>
      </c>
    </row>
    <row r="22" spans="1:14" ht="13.5">
      <c r="A22" s="30">
        <v>0.05</v>
      </c>
      <c r="B22" s="30">
        <v>0.2</v>
      </c>
      <c r="C22" s="8">
        <v>0.5</v>
      </c>
      <c r="D22" s="66">
        <f>ROUNDUP(((NORMSINV(1-A22)+NORMSINV(1-B22))/C22)^2,0)</f>
        <v>25</v>
      </c>
      <c r="E22" s="53">
        <f>ROUNDUP(((NORMSINV(1-A22/2)+NORMSINV(1-B22))/C22)^2,0)</f>
        <v>32</v>
      </c>
      <c r="H22" t="s">
        <v>83</v>
      </c>
      <c r="J22" s="2">
        <v>-1.5</v>
      </c>
      <c r="K22" s="17">
        <f t="shared" si="1"/>
        <v>2.3246524673583497</v>
      </c>
      <c r="L22" s="17">
        <f t="shared" si="2"/>
        <v>2.1102505253044854</v>
      </c>
      <c r="M22" s="17">
        <f t="shared" si="3"/>
        <v>7.211753530731192E-05</v>
      </c>
      <c r="N22" s="17">
        <f t="shared" si="4"/>
        <v>4.332100385341894E-09</v>
      </c>
    </row>
    <row r="23" spans="1:21" ht="13.5">
      <c r="A23" s="40">
        <v>0.05</v>
      </c>
      <c r="B23" s="40">
        <v>0.1</v>
      </c>
      <c r="C23" s="14">
        <v>1</v>
      </c>
      <c r="D23" s="65">
        <f>ROUNDUP(((NORMSINV(1-A23)+NORMSINV(1-B23))/C23)^2,0)</f>
        <v>9</v>
      </c>
      <c r="E23" s="64">
        <f>ROUNDUP(((NORMSINV(1-A23/2)+NORMSINV(1-B23))/C23)^2,0)</f>
        <v>11</v>
      </c>
      <c r="H23" t="s">
        <v>81</v>
      </c>
      <c r="J23" s="2">
        <v>-1.25</v>
      </c>
      <c r="K23" s="17">
        <f t="shared" si="1"/>
        <v>2.4578333617716144</v>
      </c>
      <c r="L23" s="17">
        <f t="shared" si="2"/>
        <v>2.180639851618894</v>
      </c>
      <c r="M23" s="17">
        <f t="shared" si="3"/>
        <v>0.00159088735248309</v>
      </c>
      <c r="N23" s="17">
        <f t="shared" si="4"/>
        <v>3.68633343815542E-07</v>
      </c>
      <c r="Q23" t="s">
        <v>20</v>
      </c>
      <c r="U23" t="s">
        <v>21</v>
      </c>
    </row>
    <row r="24" spans="10:14" ht="13.5">
      <c r="J24" s="2">
        <v>-1</v>
      </c>
      <c r="K24" s="17">
        <f t="shared" si="1"/>
        <v>2.606530659712633</v>
      </c>
      <c r="L24" s="17">
        <f t="shared" si="2"/>
        <v>2.278037300453194</v>
      </c>
      <c r="M24" s="17">
        <f t="shared" si="3"/>
        <v>0.01999619376883615</v>
      </c>
      <c r="N24" s="17">
        <f t="shared" si="4"/>
        <v>1.7873107750531882E-05</v>
      </c>
    </row>
    <row r="25" spans="1:18" ht="13.5">
      <c r="A25" t="s">
        <v>93</v>
      </c>
      <c r="B25" s="35" t="s">
        <v>189</v>
      </c>
      <c r="J25" s="2">
        <v>-0.75</v>
      </c>
      <c r="K25" s="17">
        <f t="shared" si="1"/>
        <v>2.7548396019890076</v>
      </c>
      <c r="L25" s="17">
        <f t="shared" si="2"/>
        <v>2.402021383094655</v>
      </c>
      <c r="M25" s="17">
        <f t="shared" si="3"/>
        <v>0.14320711569280983</v>
      </c>
      <c r="N25" s="17">
        <f t="shared" si="4"/>
        <v>0.0004937588414881213</v>
      </c>
      <c r="Q25" s="3" t="s">
        <v>50</v>
      </c>
      <c r="R25">
        <v>0.05</v>
      </c>
    </row>
    <row r="26" spans="1:20" ht="13.5">
      <c r="A26" t="s">
        <v>94</v>
      </c>
      <c r="B26" s="35" t="s">
        <v>190</v>
      </c>
      <c r="I26" s="30"/>
      <c r="J26" s="2">
        <v>-0.5</v>
      </c>
      <c r="K26" s="17">
        <f t="shared" si="1"/>
        <v>2.8824969025845952</v>
      </c>
      <c r="L26" s="17">
        <f t="shared" si="2"/>
        <v>2.5460744266397093</v>
      </c>
      <c r="M26" s="17">
        <f t="shared" si="3"/>
        <v>0.5843744412450296</v>
      </c>
      <c r="N26" s="17">
        <f t="shared" si="4"/>
        <v>0.007772112013739534</v>
      </c>
      <c r="Q26" s="21" t="s">
        <v>52</v>
      </c>
      <c r="R26" s="160" t="s">
        <v>51</v>
      </c>
      <c r="S26" s="159"/>
      <c r="T26" s="159"/>
    </row>
    <row r="27" spans="10:20" ht="13.5">
      <c r="J27" s="2">
        <v>-0.25</v>
      </c>
      <c r="K27" s="17">
        <f t="shared" si="1"/>
        <v>2.969233234476344</v>
      </c>
      <c r="L27" s="17">
        <f t="shared" si="2"/>
        <v>2.6968047754960347</v>
      </c>
      <c r="M27" s="17">
        <f t="shared" si="3"/>
        <v>1.3587112835802133</v>
      </c>
      <c r="N27" s="17">
        <f t="shared" si="4"/>
        <v>0.06970638663299586</v>
      </c>
      <c r="Q27" s="16"/>
      <c r="R27" s="19">
        <v>9</v>
      </c>
      <c r="S27" s="19">
        <v>16</v>
      </c>
      <c r="T27" s="19">
        <v>25</v>
      </c>
    </row>
    <row r="28" spans="10:20" ht="13.5">
      <c r="J28" s="2">
        <v>0</v>
      </c>
      <c r="K28" s="17">
        <f t="shared" si="1"/>
        <v>3</v>
      </c>
      <c r="L28" s="17">
        <f t="shared" si="2"/>
        <v>2.835270211411272</v>
      </c>
      <c r="M28" s="17">
        <f t="shared" si="3"/>
        <v>1.8</v>
      </c>
      <c r="N28" s="17">
        <f t="shared" si="4"/>
        <v>0.3562176583505065</v>
      </c>
      <c r="Q28" s="11">
        <v>-1</v>
      </c>
      <c r="R28" s="12">
        <f aca="true" t="shared" si="5" ref="R28:T42">NORMSDIST($Q28*SQRT(R$5)-NORMSINV(1-$R$3))</f>
        <v>1.7034487641565121E-06</v>
      </c>
      <c r="S28" s="12">
        <f t="shared" si="5"/>
        <v>8.288984720827841E-09</v>
      </c>
      <c r="T28" s="12">
        <f t="shared" si="5"/>
        <v>1.5257350938213676E-11</v>
      </c>
    </row>
    <row r="29" spans="10:20" ht="13.5">
      <c r="J29" s="2">
        <v>0.25</v>
      </c>
      <c r="K29" s="17">
        <f t="shared" si="1"/>
        <v>2.969233234476344</v>
      </c>
      <c r="L29" s="17">
        <f t="shared" si="2"/>
        <v>2.940588063364342</v>
      </c>
      <c r="M29" s="17">
        <f t="shared" si="3"/>
        <v>1.3587112835802133</v>
      </c>
      <c r="N29" s="17">
        <f t="shared" si="4"/>
        <v>1.03721233260924</v>
      </c>
      <c r="Q29" s="8">
        <v>-0.8</v>
      </c>
      <c r="R29" s="13">
        <f t="shared" si="5"/>
        <v>2.6191072923786862E-05</v>
      </c>
      <c r="S29" s="13">
        <f t="shared" si="5"/>
        <v>6.343847239742573E-07</v>
      </c>
      <c r="T29" s="13">
        <f t="shared" si="5"/>
        <v>8.288984720827841E-09</v>
      </c>
    </row>
    <row r="30" spans="10:20" ht="13.5">
      <c r="J30" s="2">
        <v>0.5</v>
      </c>
      <c r="K30" s="17">
        <f t="shared" si="1"/>
        <v>2.8824969025845952</v>
      </c>
      <c r="L30" s="17">
        <f t="shared" si="2"/>
        <v>2.9950124791926824</v>
      </c>
      <c r="M30" s="17">
        <f t="shared" si="3"/>
        <v>0.5843744412450296</v>
      </c>
      <c r="N30" s="17">
        <f t="shared" si="4"/>
        <v>1.72079546729958</v>
      </c>
      <c r="Q30" s="7">
        <v>-0.6</v>
      </c>
      <c r="R30" s="13">
        <f t="shared" si="5"/>
        <v>0.0002857333337268342</v>
      </c>
      <c r="S30" s="13">
        <f t="shared" si="5"/>
        <v>2.6191072923786862E-05</v>
      </c>
      <c r="T30" s="13">
        <f t="shared" si="5"/>
        <v>1.7034487641565121E-06</v>
      </c>
    </row>
    <row r="31" spans="10:20" ht="13.5">
      <c r="J31" s="2">
        <v>0.75</v>
      </c>
      <c r="K31" s="17">
        <f t="shared" si="1"/>
        <v>2.7548396019890076</v>
      </c>
      <c r="L31" s="17">
        <f t="shared" si="2"/>
        <v>2.9888130446112333</v>
      </c>
      <c r="M31" s="17">
        <f t="shared" si="3"/>
        <v>0.14320711569280983</v>
      </c>
      <c r="N31" s="17">
        <f t="shared" si="4"/>
        <v>1.626672740171753</v>
      </c>
      <c r="Q31" s="7">
        <v>-0.4</v>
      </c>
      <c r="R31" s="13">
        <f t="shared" si="5"/>
        <v>0.002221659935507714</v>
      </c>
      <c r="S31" s="13">
        <f t="shared" si="5"/>
        <v>0.0005876180891624116</v>
      </c>
      <c r="T31" s="13">
        <f t="shared" si="5"/>
        <v>0.00013380638013416046</v>
      </c>
    </row>
    <row r="32" spans="10:20" ht="13.5">
      <c r="J32" s="2">
        <v>1</v>
      </c>
      <c r="K32" s="17">
        <f t="shared" si="1"/>
        <v>2.606530659712633</v>
      </c>
      <c r="L32" s="17">
        <f t="shared" si="2"/>
        <v>2.9231163463866356</v>
      </c>
      <c r="M32" s="17">
        <f t="shared" si="3"/>
        <v>0.01999619376883615</v>
      </c>
      <c r="N32" s="17">
        <f t="shared" si="4"/>
        <v>0.8761540607279489</v>
      </c>
      <c r="Q32" s="7">
        <v>-0.2</v>
      </c>
      <c r="R32" s="13">
        <f t="shared" si="5"/>
        <v>0.01238874524661504</v>
      </c>
      <c r="S32" s="13">
        <f t="shared" si="5"/>
        <v>0.007245562418389029</v>
      </c>
      <c r="T32" s="13">
        <f t="shared" si="5"/>
        <v>0.004086361850877074</v>
      </c>
    </row>
    <row r="33" spans="10:20" ht="13.5">
      <c r="J33" s="2">
        <v>1.25</v>
      </c>
      <c r="K33" s="17">
        <f t="shared" si="1"/>
        <v>2.4578333617716144</v>
      </c>
      <c r="L33" s="17">
        <f t="shared" si="2"/>
        <v>2.809571648667887</v>
      </c>
      <c r="M33" s="17">
        <f t="shared" si="3"/>
        <v>0.00159088735248309</v>
      </c>
      <c r="N33" s="17">
        <f t="shared" si="4"/>
        <v>0.26888719545075246</v>
      </c>
      <c r="Q33" s="8">
        <v>-0.1</v>
      </c>
      <c r="R33" s="13">
        <f t="shared" si="5"/>
        <v>0.025896266972882387</v>
      </c>
      <c r="S33" s="13">
        <f t="shared" si="5"/>
        <v>0.02043460836371458</v>
      </c>
      <c r="T33" s="13">
        <f t="shared" si="5"/>
        <v>0.01598224358607847</v>
      </c>
    </row>
    <row r="34" spans="10:20" ht="13.5">
      <c r="J34" s="2">
        <v>1.5</v>
      </c>
      <c r="K34" s="17">
        <f t="shared" si="1"/>
        <v>2.3246524673583497</v>
      </c>
      <c r="L34" s="17">
        <f t="shared" si="2"/>
        <v>2.6669768108584746</v>
      </c>
      <c r="M34" s="17">
        <f t="shared" si="3"/>
        <v>7.211753530731192E-05</v>
      </c>
      <c r="N34" s="17">
        <f t="shared" si="4"/>
        <v>0.0470185377370528</v>
      </c>
      <c r="Q34" s="45">
        <v>-0.05</v>
      </c>
      <c r="R34" s="15">
        <f t="shared" si="5"/>
        <v>0.03633850928256288</v>
      </c>
      <c r="S34" s="15">
        <f t="shared" si="5"/>
        <v>0.0325294017219665</v>
      </c>
      <c r="T34" s="15">
        <f t="shared" si="5"/>
        <v>0.029055873116230146</v>
      </c>
    </row>
    <row r="35" spans="5:20" ht="13.5">
      <c r="E35" s="2"/>
      <c r="J35" s="2">
        <v>1.75</v>
      </c>
      <c r="K35" s="17">
        <f t="shared" si="1"/>
        <v>2.216265166829887</v>
      </c>
      <c r="L35" s="17">
        <f t="shared" si="2"/>
        <v>2.5162056739454965</v>
      </c>
      <c r="M35" s="17">
        <f t="shared" si="3"/>
        <v>1.8627375799968756E-06</v>
      </c>
      <c r="N35" s="17">
        <f t="shared" si="4"/>
        <v>0.004684653454905729</v>
      </c>
      <c r="Q35" s="46">
        <v>0</v>
      </c>
      <c r="R35" s="10">
        <f t="shared" si="5"/>
        <v>0.05000004901013133</v>
      </c>
      <c r="S35" s="10">
        <f t="shared" si="5"/>
        <v>0.05000004901013133</v>
      </c>
      <c r="T35" s="10">
        <f t="shared" si="5"/>
        <v>0.05000004901013133</v>
      </c>
    </row>
    <row r="36" spans="5:20" ht="13.5">
      <c r="E36" s="2"/>
      <c r="J36" s="2">
        <v>2</v>
      </c>
      <c r="K36" s="17">
        <f t="shared" si="1"/>
        <v>2.135335283236613</v>
      </c>
      <c r="L36" s="17">
        <f t="shared" si="2"/>
        <v>2.3753110988513995</v>
      </c>
      <c r="M36" s="17">
        <f t="shared" si="3"/>
        <v>2.7413963540482732E-08</v>
      </c>
      <c r="N36" s="17">
        <f t="shared" si="4"/>
        <v>0.00026594704841766104</v>
      </c>
      <c r="Q36" s="47">
        <v>0.05</v>
      </c>
      <c r="R36" s="13">
        <f t="shared" si="5"/>
        <v>0.06747643426517502</v>
      </c>
      <c r="S36" s="13">
        <f t="shared" si="5"/>
        <v>0.07424963222799397</v>
      </c>
      <c r="T36" s="13">
        <f t="shared" si="5"/>
        <v>0.08153013927293806</v>
      </c>
    </row>
    <row r="37" spans="10:20" ht="13.5">
      <c r="J37" s="2">
        <v>2.25</v>
      </c>
      <c r="K37" s="17">
        <f t="shared" si="1"/>
        <v>2.0795595087182277</v>
      </c>
      <c r="L37" s="17">
        <f t="shared" si="2"/>
        <v>2.2563401514150736</v>
      </c>
      <c r="M37" s="17">
        <f t="shared" si="3"/>
        <v>2.2988007981231E-10</v>
      </c>
      <c r="N37" s="17">
        <f t="shared" si="4"/>
        <v>8.602451517968364E-06</v>
      </c>
      <c r="Q37" s="48">
        <v>0.1</v>
      </c>
      <c r="R37" s="13">
        <f t="shared" si="5"/>
        <v>0.08933641621153332</v>
      </c>
      <c r="S37" s="13">
        <f t="shared" si="5"/>
        <v>0.10659296013803676</v>
      </c>
      <c r="T37" s="13">
        <f t="shared" si="5"/>
        <v>0.12613507997892337</v>
      </c>
    </row>
    <row r="38" spans="10:20" ht="13.5">
      <c r="J38" s="2">
        <v>2.5</v>
      </c>
      <c r="K38" s="17">
        <f t="shared" si="1"/>
        <v>2.0439369336234074</v>
      </c>
      <c r="L38" s="17">
        <f t="shared" si="2"/>
        <v>2.164474456577155</v>
      </c>
      <c r="M38" s="17">
        <f t="shared" si="3"/>
        <v>1.0983486019689583E-12</v>
      </c>
      <c r="N38" s="17">
        <f t="shared" si="4"/>
        <v>1.5854722553629004E-07</v>
      </c>
      <c r="Q38" s="7">
        <v>0.2</v>
      </c>
      <c r="R38" s="13">
        <f t="shared" si="5"/>
        <v>0.14804548004035167</v>
      </c>
      <c r="S38" s="13">
        <f t="shared" si="5"/>
        <v>0.1990964065617966</v>
      </c>
      <c r="T38" s="13">
        <f t="shared" si="5"/>
        <v>0.2595111598495684</v>
      </c>
    </row>
    <row r="39" spans="10:20" ht="13.5">
      <c r="J39" s="2">
        <v>2.75</v>
      </c>
      <c r="K39" s="17">
        <f t="shared" si="1"/>
        <v>2.0227941808836123</v>
      </c>
      <c r="L39" s="17">
        <f t="shared" si="2"/>
        <v>2.0991372525107472</v>
      </c>
      <c r="M39" s="17">
        <f t="shared" si="3"/>
        <v>2.9901186228595376E-15</v>
      </c>
      <c r="N39" s="17">
        <f t="shared" si="4"/>
        <v>1.6649623354888627E-09</v>
      </c>
      <c r="Q39" s="8">
        <v>0.4</v>
      </c>
      <c r="R39" s="13">
        <f t="shared" si="5"/>
        <v>0.32821301844056117</v>
      </c>
      <c r="S39" s="13">
        <f t="shared" si="5"/>
        <v>0.48211217456503475</v>
      </c>
      <c r="T39" s="13">
        <f t="shared" si="5"/>
        <v>0.6387602058926514</v>
      </c>
    </row>
    <row r="40" spans="10:20" ht="13.5">
      <c r="J40" s="2">
        <v>3</v>
      </c>
      <c r="K40" s="17">
        <f t="shared" si="1"/>
        <v>2.0111089965382423</v>
      </c>
      <c r="L40" s="17">
        <f t="shared" si="2"/>
        <v>2.0561347628341338</v>
      </c>
      <c r="M40" s="17">
        <f t="shared" si="3"/>
        <v>4.638162796478966E-18</v>
      </c>
      <c r="N40" s="17">
        <f t="shared" si="4"/>
        <v>9.962298129061859E-12</v>
      </c>
      <c r="Q40" s="7">
        <v>0.6</v>
      </c>
      <c r="R40" s="13">
        <f t="shared" si="5"/>
        <v>0.561647299407976</v>
      </c>
      <c r="S40" s="13">
        <f t="shared" si="5"/>
        <v>0.7749196793848949</v>
      </c>
      <c r="T40" s="13">
        <f t="shared" si="5"/>
        <v>0.9123145769521451</v>
      </c>
    </row>
    <row r="41" spans="10:20" ht="13.5">
      <c r="J41" s="2">
        <v>3.25</v>
      </c>
      <c r="K41" s="17">
        <f t="shared" si="1"/>
        <v>2.005086069231013</v>
      </c>
      <c r="L41" s="17">
        <f t="shared" si="2"/>
        <v>2.0298595666411154</v>
      </c>
      <c r="M41" s="17">
        <f t="shared" si="3"/>
        <v>4.099330295375548E-21</v>
      </c>
      <c r="N41" s="17">
        <f t="shared" si="4"/>
        <v>3.3964404842277823E-14</v>
      </c>
      <c r="Q41" s="8">
        <v>0.8</v>
      </c>
      <c r="R41" s="13">
        <f t="shared" si="5"/>
        <v>0.774919679384895</v>
      </c>
      <c r="S41" s="13">
        <f t="shared" si="5"/>
        <v>0.9400444568543582</v>
      </c>
      <c r="T41" s="13">
        <f t="shared" si="5"/>
        <v>0.9907423272208619</v>
      </c>
    </row>
    <row r="42" spans="10:20" ht="13.5">
      <c r="J42" s="2">
        <v>3.5</v>
      </c>
      <c r="K42" s="17">
        <f t="shared" si="1"/>
        <v>2.0021874911181827</v>
      </c>
      <c r="L42" s="17">
        <f t="shared" si="2"/>
        <v>2.0149207860690677</v>
      </c>
      <c r="M42" s="17">
        <f t="shared" si="3"/>
        <v>2.064377848006073E-24</v>
      </c>
      <c r="N42" s="17">
        <f t="shared" si="4"/>
        <v>6.597780112081882E-17</v>
      </c>
      <c r="Q42" s="14">
        <v>1</v>
      </c>
      <c r="R42" s="15">
        <f t="shared" si="5"/>
        <v>0.9123145769521451</v>
      </c>
      <c r="S42" s="15">
        <f t="shared" si="5"/>
        <v>0.9907423272208619</v>
      </c>
      <c r="T42" s="15">
        <f t="shared" si="5"/>
        <v>0.9996033311808225</v>
      </c>
    </row>
    <row r="43" spans="10:14" ht="13.5">
      <c r="J43" s="2">
        <v>3.75</v>
      </c>
      <c r="K43" s="17">
        <f t="shared" si="1"/>
        <v>2.000883826306935</v>
      </c>
      <c r="L43" s="17">
        <f t="shared" si="2"/>
        <v>2.0070041671493626</v>
      </c>
      <c r="M43" s="17">
        <f t="shared" si="3"/>
        <v>5.923451299094842E-28</v>
      </c>
      <c r="N43" s="17">
        <f t="shared" si="4"/>
        <v>7.302658973528056E-20</v>
      </c>
    </row>
    <row r="44" spans="10:14" ht="13.5">
      <c r="J44" s="2">
        <v>4</v>
      </c>
      <c r="K44" s="17">
        <f t="shared" si="1"/>
        <v>2.0003354626279024</v>
      </c>
      <c r="L44" s="17">
        <f t="shared" si="2"/>
        <v>2.0030887154082366</v>
      </c>
      <c r="M44" s="17">
        <f t="shared" si="3"/>
        <v>9.68433508803805E-32</v>
      </c>
      <c r="N44" s="17">
        <f t="shared" si="4"/>
        <v>4.605465745887635E-23</v>
      </c>
    </row>
    <row r="45" spans="10:15" ht="13.5">
      <c r="J45" s="2">
        <v>-3</v>
      </c>
      <c r="K45" s="17"/>
      <c r="L45" s="17"/>
      <c r="M45" s="17"/>
      <c r="N45" s="17"/>
      <c r="O45">
        <v>2</v>
      </c>
    </row>
    <row r="46" spans="10:15" ht="13.5">
      <c r="J46" s="2">
        <v>4</v>
      </c>
      <c r="K46" s="17"/>
      <c r="L46" s="17"/>
      <c r="M46" s="17"/>
      <c r="N46" s="17"/>
      <c r="O46">
        <v>2</v>
      </c>
    </row>
    <row r="48" spans="10:15" ht="13.5">
      <c r="J48">
        <f>K2</f>
        <v>0.6</v>
      </c>
      <c r="O48">
        <v>0</v>
      </c>
    </row>
    <row r="49" spans="10:15" ht="13.5">
      <c r="J49">
        <f>J48</f>
        <v>0.6</v>
      </c>
      <c r="O49">
        <v>3.1</v>
      </c>
    </row>
    <row r="51" spans="10:15" ht="13.5">
      <c r="J51">
        <f>NORMSINV(1-K4)/SQRT(K3)</f>
        <v>0.5482843334903009</v>
      </c>
      <c r="O51">
        <v>0</v>
      </c>
    </row>
    <row r="52" spans="10:15" ht="13.5">
      <c r="J52">
        <f>J51</f>
        <v>0.5482843334903009</v>
      </c>
      <c r="O52">
        <v>1</v>
      </c>
    </row>
    <row r="54" spans="10:15" ht="13.5">
      <c r="J54">
        <f>K2/2</f>
        <v>0.3</v>
      </c>
      <c r="O54">
        <v>2</v>
      </c>
    </row>
    <row r="55" spans="10:15" ht="13.5">
      <c r="J55">
        <f>J54</f>
        <v>0.3</v>
      </c>
      <c r="O55" s="17">
        <f>2+EXP(-($J55^2/2))</f>
        <v>2.9559974818331</v>
      </c>
    </row>
  </sheetData>
  <mergeCells count="5">
    <mergeCell ref="D2:F2"/>
    <mergeCell ref="D13:F13"/>
    <mergeCell ref="R4:T4"/>
    <mergeCell ref="R26:T26"/>
    <mergeCell ref="D19:E19"/>
  </mergeCells>
  <printOptions/>
  <pageMargins left="0.75" right="0.75" top="1" bottom="1" header="0.512" footer="0.512"/>
  <pageSetup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G16"/>
  <sheetViews>
    <sheetView zoomScale="75" zoomScaleNormal="75" workbookViewId="0" topLeftCell="A1">
      <selection activeCell="A1" sqref="A1:G16"/>
    </sheetView>
  </sheetViews>
  <sheetFormatPr defaultColWidth="8.796875" defaultRowHeight="14.25"/>
  <cols>
    <col min="1" max="1" width="13.09765625" style="0" customWidth="1"/>
    <col min="2" max="2" width="7.19921875" style="0" bestFit="1" customWidth="1"/>
    <col min="3" max="4" width="5.8984375" style="0" customWidth="1"/>
    <col min="5" max="5" width="9.09765625" style="0" customWidth="1"/>
    <col min="6" max="7" width="9.09765625" style="0" bestFit="1" customWidth="1"/>
  </cols>
  <sheetData>
    <row r="1" spans="1:7" ht="17.25">
      <c r="A1" s="77" t="s">
        <v>134</v>
      </c>
      <c r="B1" s="77"/>
      <c r="C1" s="77"/>
      <c r="D1" s="165" t="s">
        <v>135</v>
      </c>
      <c r="E1" s="165"/>
      <c r="F1" s="165"/>
      <c r="G1" s="165"/>
    </row>
    <row r="2" spans="1:7" ht="17.25">
      <c r="A2" s="77"/>
      <c r="B2" s="78"/>
      <c r="C2" s="78"/>
      <c r="D2" s="79"/>
      <c r="E2" s="78"/>
      <c r="F2" s="78"/>
      <c r="G2" s="78"/>
    </row>
    <row r="3" spans="1:7" ht="17.25">
      <c r="A3" s="77"/>
      <c r="B3" s="78"/>
      <c r="C3" s="78"/>
      <c r="D3" s="79"/>
      <c r="E3" s="164" t="s">
        <v>146</v>
      </c>
      <c r="F3" s="164"/>
      <c r="G3" s="164"/>
    </row>
    <row r="4" spans="1:7" ht="15" thickBot="1">
      <c r="A4" s="100" t="s">
        <v>136</v>
      </c>
      <c r="B4" s="101" t="s">
        <v>137</v>
      </c>
      <c r="C4" s="102" t="s">
        <v>138</v>
      </c>
      <c r="D4" s="103"/>
      <c r="E4" s="104" t="s">
        <v>139</v>
      </c>
      <c r="F4" s="104" t="s">
        <v>140</v>
      </c>
      <c r="G4" s="104" t="s">
        <v>141</v>
      </c>
    </row>
    <row r="5" spans="1:7" ht="15" thickBot="1">
      <c r="A5" s="80" t="s">
        <v>142</v>
      </c>
      <c r="B5" s="81">
        <v>2</v>
      </c>
      <c r="C5" s="82"/>
      <c r="D5" s="83"/>
      <c r="E5" s="84">
        <f>NORMSDIST(B5)</f>
        <v>0.9772499379638131</v>
      </c>
      <c r="F5" s="84">
        <f>2*NORMSDIST(-ABS(B5))</f>
        <v>0.045500124072373804</v>
      </c>
      <c r="G5" s="84">
        <f>1-E5</f>
        <v>0.022750062036186902</v>
      </c>
    </row>
    <row r="6" spans="1:7" ht="14.25" thickBot="1">
      <c r="A6" s="83"/>
      <c r="B6" s="85">
        <f>-NORMSINV(F6/2)</f>
        <v>1.9599610823206604</v>
      </c>
      <c r="C6" s="82"/>
      <c r="D6" s="83"/>
      <c r="E6" s="86"/>
      <c r="F6" s="81">
        <v>0.05</v>
      </c>
      <c r="G6" s="86"/>
    </row>
    <row r="7" spans="1:7" ht="14.25" thickBot="1">
      <c r="A7" s="87"/>
      <c r="B7" s="88">
        <f>-NORMSINV(G7)</f>
        <v>1.6448530004709028</v>
      </c>
      <c r="C7" s="89"/>
      <c r="D7" s="87"/>
      <c r="E7" s="90"/>
      <c r="F7" s="90"/>
      <c r="G7" s="81">
        <v>0.05</v>
      </c>
    </row>
    <row r="8" spans="1:7" ht="15" thickBot="1">
      <c r="A8" s="91" t="s">
        <v>143</v>
      </c>
      <c r="B8" s="81">
        <v>20.483</v>
      </c>
      <c r="C8" s="92">
        <v>10</v>
      </c>
      <c r="D8" s="83"/>
      <c r="E8" s="84">
        <f>1-G8</f>
        <v>0.9749985505315184</v>
      </c>
      <c r="F8" s="86">
        <f>1-ABS(2*G8-1)</f>
        <v>0.0500028989369633</v>
      </c>
      <c r="G8" s="84">
        <f>CHIDIST(B8,C8)</f>
        <v>0.02500144946848165</v>
      </c>
    </row>
    <row r="9" spans="1:7" ht="14.25" thickBot="1">
      <c r="A9" s="83"/>
      <c r="B9" s="97">
        <f>CHIINV(1-E9,C8)</f>
        <v>3.2469634994480856</v>
      </c>
      <c r="C9" s="92">
        <v>10</v>
      </c>
      <c r="D9" s="78"/>
      <c r="E9" s="81">
        <v>0.025</v>
      </c>
      <c r="F9" s="86"/>
      <c r="G9" s="84"/>
    </row>
    <row r="10" spans="1:7" ht="14.25" thickBot="1">
      <c r="A10" s="87"/>
      <c r="B10" s="98">
        <f>CHIINV(G10,C9)</f>
        <v>18.307029036847496</v>
      </c>
      <c r="C10" s="92">
        <v>10</v>
      </c>
      <c r="D10" s="87"/>
      <c r="E10" s="90"/>
      <c r="F10" s="93"/>
      <c r="G10" s="81">
        <v>0.05</v>
      </c>
    </row>
    <row r="11" spans="1:7" ht="15" thickBot="1">
      <c r="A11" s="91" t="s">
        <v>144</v>
      </c>
      <c r="B11" s="94">
        <v>1.96</v>
      </c>
      <c r="C11" s="92">
        <v>10</v>
      </c>
      <c r="D11" s="83"/>
      <c r="E11" s="84">
        <f>1-G11</f>
        <v>0.9607818802567438</v>
      </c>
      <c r="F11" s="84">
        <f>TDIST(ABS(B11),C11,2)</f>
        <v>0.07843623948651236</v>
      </c>
      <c r="G11" s="84">
        <f>IF(B11&gt;0,F11/2,1-F11/2)</f>
        <v>0.03921811974325618</v>
      </c>
    </row>
    <row r="12" spans="1:7" ht="14.25" thickBot="1">
      <c r="A12" s="83"/>
      <c r="B12" s="97">
        <f>TINV(F12,C12)</f>
        <v>2.228139237558935</v>
      </c>
      <c r="C12" s="92">
        <v>10</v>
      </c>
      <c r="D12" s="83"/>
      <c r="E12" s="84"/>
      <c r="F12" s="81">
        <v>0.05</v>
      </c>
      <c r="G12" s="84"/>
    </row>
    <row r="13" spans="1:7" ht="14.25" thickBot="1">
      <c r="A13" s="87"/>
      <c r="B13" s="98">
        <f>TINV(G13*2,C13)</f>
        <v>1.8124615053238813</v>
      </c>
      <c r="C13" s="92">
        <v>10</v>
      </c>
      <c r="D13" s="95"/>
      <c r="E13" s="90"/>
      <c r="F13" s="90"/>
      <c r="G13" s="81">
        <v>0.05</v>
      </c>
    </row>
    <row r="14" spans="1:7" ht="15" thickBot="1">
      <c r="A14" s="91" t="s">
        <v>145</v>
      </c>
      <c r="B14" s="94">
        <v>3.456</v>
      </c>
      <c r="C14" s="96">
        <v>2</v>
      </c>
      <c r="D14" s="92">
        <v>5</v>
      </c>
      <c r="E14" s="84">
        <f>1-G14</f>
        <v>0.8858533161635261</v>
      </c>
      <c r="F14" s="86">
        <f>1-ABS(2*G14-1)</f>
        <v>0.22829336767294772</v>
      </c>
      <c r="G14" s="84">
        <f>FDIST(B14,C14,D14)</f>
        <v>0.11414668383647389</v>
      </c>
    </row>
    <row r="15" spans="1:7" ht="14.25" thickBot="1">
      <c r="A15" s="83"/>
      <c r="B15" s="97">
        <f>FINV(1-E15,C15,D15)</f>
        <v>0.025446311724408588</v>
      </c>
      <c r="C15" s="92">
        <v>2</v>
      </c>
      <c r="D15" s="92">
        <v>5</v>
      </c>
      <c r="E15" s="81">
        <v>0.025</v>
      </c>
      <c r="F15" s="86"/>
      <c r="G15" s="84"/>
    </row>
    <row r="16" spans="1:7" ht="14.25" thickBot="1">
      <c r="A16" s="87"/>
      <c r="B16" s="99">
        <f>FINV(G16,C16,D16)</f>
        <v>1.106750247004129</v>
      </c>
      <c r="C16" s="92">
        <v>2</v>
      </c>
      <c r="D16" s="92">
        <v>5</v>
      </c>
      <c r="E16" s="90"/>
      <c r="F16" s="93"/>
      <c r="G16" s="81">
        <v>0.4</v>
      </c>
    </row>
  </sheetData>
  <mergeCells count="2">
    <mergeCell ref="E3:G3"/>
    <mergeCell ref="D1:G1"/>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R19"/>
  <sheetViews>
    <sheetView tabSelected="1" zoomScale="75" zoomScaleNormal="75" workbookViewId="0" topLeftCell="A1">
      <selection activeCell="M30" sqref="M30"/>
    </sheetView>
  </sheetViews>
  <sheetFormatPr defaultColWidth="8.796875" defaultRowHeight="14.25"/>
  <cols>
    <col min="1" max="1" width="7.5" style="3" bestFit="1" customWidth="1"/>
    <col min="2" max="2" width="5.59765625" style="0" bestFit="1" customWidth="1"/>
    <col min="3" max="3" width="7" style="0" bestFit="1" customWidth="1"/>
    <col min="4" max="4" width="5" style="0" bestFit="1" customWidth="1"/>
    <col min="5" max="5" width="8.09765625" style="0" bestFit="1" customWidth="1"/>
    <col min="6" max="7" width="7" style="0" bestFit="1" customWidth="1"/>
    <col min="8" max="8" width="7.59765625" style="3" customWidth="1"/>
    <col min="9" max="12" width="7" style="0" bestFit="1" customWidth="1"/>
  </cols>
  <sheetData>
    <row r="1" spans="1:10" ht="13.5">
      <c r="A1" s="75" t="s">
        <v>120</v>
      </c>
      <c r="B1" s="39"/>
      <c r="C1" s="39"/>
      <c r="D1" s="5"/>
      <c r="E1" s="159" t="s">
        <v>30</v>
      </c>
      <c r="F1" s="159"/>
      <c r="G1" s="159"/>
      <c r="H1" s="75" t="s">
        <v>124</v>
      </c>
      <c r="I1" s="3" t="s">
        <v>50</v>
      </c>
      <c r="J1" s="30">
        <v>0.05</v>
      </c>
    </row>
    <row r="2" spans="2:12" ht="13.5">
      <c r="B2" s="19" t="s">
        <v>28</v>
      </c>
      <c r="C2" s="19" t="s">
        <v>0</v>
      </c>
      <c r="D2" s="31" t="s">
        <v>184</v>
      </c>
      <c r="E2" s="42" t="s">
        <v>33</v>
      </c>
      <c r="F2" s="42" t="s">
        <v>34</v>
      </c>
      <c r="G2" s="42" t="s">
        <v>29</v>
      </c>
      <c r="I2" s="21" t="s">
        <v>52</v>
      </c>
      <c r="J2" s="159" t="s">
        <v>51</v>
      </c>
      <c r="K2" s="159"/>
      <c r="L2" s="159"/>
    </row>
    <row r="3" spans="2:12" ht="13.5">
      <c r="B3" s="52">
        <v>9</v>
      </c>
      <c r="C3" s="39">
        <v>0.05</v>
      </c>
      <c r="D3" s="11">
        <v>0.6</v>
      </c>
      <c r="E3" s="55">
        <f>NORMSDIST(D3*SQRT(B3)-NORMSINV(1-C3))</f>
        <v>0.561647299407976</v>
      </c>
      <c r="F3" s="12">
        <f>NORMSDIST(-D3*SQRT(B3)-NORMSINV(1-C3))</f>
        <v>0.0002857333337268342</v>
      </c>
      <c r="G3" s="12">
        <f>NORMSDIST(D3*SQRT(B3)-NORMSINV(1-C3/2))+NORMSDIST(-D3*SQRT(B3)-NORMSINV(1-C3/2))</f>
        <v>0.4365408517491768</v>
      </c>
      <c r="I3" s="16"/>
      <c r="J3" s="74">
        <v>9</v>
      </c>
      <c r="K3" s="26">
        <v>16</v>
      </c>
      <c r="L3" s="26">
        <v>25</v>
      </c>
    </row>
    <row r="4" spans="9:12" ht="13.5">
      <c r="I4" s="7">
        <v>-1</v>
      </c>
      <c r="J4" s="59">
        <f aca="true" t="shared" si="0" ref="J4:L18">NORMSDIST($I4*SQRT(J$3)-NORMSINV(1-$J$1))</f>
        <v>1.7034487641565121E-06</v>
      </c>
      <c r="K4" s="59">
        <f t="shared" si="0"/>
        <v>8.288984720827841E-09</v>
      </c>
      <c r="L4" s="59">
        <f t="shared" si="0"/>
        <v>1.5257350938213676E-11</v>
      </c>
    </row>
    <row r="5" spans="1:18" ht="13.5">
      <c r="A5" s="75" t="s">
        <v>121</v>
      </c>
      <c r="B5" s="30"/>
      <c r="C5" s="30"/>
      <c r="D5" s="30"/>
      <c r="E5" s="166" t="s">
        <v>30</v>
      </c>
      <c r="F5" s="166"/>
      <c r="G5" s="166"/>
      <c r="I5" s="8">
        <v>-0.8</v>
      </c>
      <c r="J5" s="59">
        <f t="shared" si="0"/>
        <v>2.6191072923786862E-05</v>
      </c>
      <c r="K5" s="59">
        <f t="shared" si="0"/>
        <v>6.343847239742573E-07</v>
      </c>
      <c r="L5" s="59">
        <f t="shared" si="0"/>
        <v>8.288984720827841E-09</v>
      </c>
      <c r="M5" s="19"/>
      <c r="N5" s="19"/>
      <c r="O5" s="19"/>
      <c r="P5" s="19"/>
      <c r="Q5" s="19"/>
      <c r="R5" s="19"/>
    </row>
    <row r="6" spans="2:18" ht="13.5">
      <c r="B6" s="19" t="s">
        <v>28</v>
      </c>
      <c r="C6" s="19" t="s">
        <v>0</v>
      </c>
      <c r="D6" s="31" t="s">
        <v>184</v>
      </c>
      <c r="E6" s="19" t="s">
        <v>33</v>
      </c>
      <c r="F6" s="19" t="s">
        <v>34</v>
      </c>
      <c r="G6" s="19" t="s">
        <v>29</v>
      </c>
      <c r="I6" s="7">
        <v>-0.6</v>
      </c>
      <c r="J6" s="59">
        <f t="shared" si="0"/>
        <v>0.0002857333337268342</v>
      </c>
      <c r="K6" s="59">
        <f t="shared" si="0"/>
        <v>2.6191072923786862E-05</v>
      </c>
      <c r="L6" s="59">
        <f t="shared" si="0"/>
        <v>1.7034487641565121E-06</v>
      </c>
      <c r="M6" s="53"/>
      <c r="N6" s="30"/>
      <c r="O6" s="23"/>
      <c r="P6" s="56"/>
      <c r="Q6" s="13"/>
      <c r="R6" s="13"/>
    </row>
    <row r="7" spans="2:12" ht="13.5">
      <c r="B7" s="53">
        <v>9</v>
      </c>
      <c r="C7" s="30">
        <v>0.05</v>
      </c>
      <c r="D7" s="23">
        <v>0.6</v>
      </c>
      <c r="E7" s="59">
        <f>NORMSDIST(D7*SQRT(B7)-NORMSINV(1-C7))</f>
        <v>0.561647299407976</v>
      </c>
      <c r="F7" s="13">
        <f>NORMSDIST(-D7*SQRT(B7)-NORMSINV(1-C7))</f>
        <v>0.0002857333337268342</v>
      </c>
      <c r="G7" s="13">
        <f>NORMSDIST(D7*SQRT(B7)-NORMSINV(1-C7/2))+NORMSDIST(-D7*SQRT(B7)-NORMSINV(1-C7/2))</f>
        <v>0.4365408517491768</v>
      </c>
      <c r="I7" s="8">
        <v>-0.4</v>
      </c>
      <c r="J7" s="59">
        <f t="shared" si="0"/>
        <v>0.002221659935507714</v>
      </c>
      <c r="K7" s="59">
        <f t="shared" si="0"/>
        <v>0.0005876180891624116</v>
      </c>
      <c r="L7" s="59">
        <f t="shared" si="0"/>
        <v>0.00013380638013416046</v>
      </c>
    </row>
    <row r="8" spans="9:12" ht="13.5">
      <c r="I8" s="8">
        <v>-0.2</v>
      </c>
      <c r="J8" s="59">
        <f t="shared" si="0"/>
        <v>0.01238874524661504</v>
      </c>
      <c r="K8" s="59">
        <f t="shared" si="0"/>
        <v>0.007245562418389029</v>
      </c>
      <c r="L8" s="59">
        <f t="shared" si="0"/>
        <v>0.004086361850877074</v>
      </c>
    </row>
    <row r="9" spans="1:12" ht="13.5">
      <c r="A9" s="75" t="s">
        <v>122</v>
      </c>
      <c r="B9" s="19" t="s">
        <v>50</v>
      </c>
      <c r="C9" s="30">
        <v>0.05</v>
      </c>
      <c r="D9" s="30"/>
      <c r="E9" s="30"/>
      <c r="I9" s="8">
        <v>-0.1</v>
      </c>
      <c r="J9" s="59">
        <f t="shared" si="0"/>
        <v>0.025896266972882387</v>
      </c>
      <c r="K9" s="59">
        <f t="shared" si="0"/>
        <v>0.02043460836371458</v>
      </c>
      <c r="L9" s="59">
        <f t="shared" si="0"/>
        <v>0.01598224358607847</v>
      </c>
    </row>
    <row r="10" spans="2:12" ht="13.5">
      <c r="B10" s="19" t="s">
        <v>52</v>
      </c>
      <c r="C10" s="166" t="s">
        <v>51</v>
      </c>
      <c r="D10" s="166"/>
      <c r="E10" s="166"/>
      <c r="I10" s="45">
        <v>-0.05</v>
      </c>
      <c r="J10" s="59">
        <f t="shared" si="0"/>
        <v>0.03633850928256288</v>
      </c>
      <c r="K10" s="59">
        <f t="shared" si="0"/>
        <v>0.0325294017219665</v>
      </c>
      <c r="L10" s="59">
        <f t="shared" si="0"/>
        <v>0.029055873116230146</v>
      </c>
    </row>
    <row r="11" spans="3:12" ht="13.5">
      <c r="C11" s="53">
        <v>9</v>
      </c>
      <c r="D11" s="19">
        <v>16</v>
      </c>
      <c r="E11" s="19">
        <v>25</v>
      </c>
      <c r="I11" s="46">
        <v>0</v>
      </c>
      <c r="J11" s="73">
        <f t="shared" si="0"/>
        <v>0.05000004901013133</v>
      </c>
      <c r="K11" s="73">
        <f t="shared" si="0"/>
        <v>0.05000004901013133</v>
      </c>
      <c r="L11" s="73">
        <f t="shared" si="0"/>
        <v>0.05000004901013133</v>
      </c>
    </row>
    <row r="12" spans="2:12" ht="13.5">
      <c r="B12" s="23">
        <v>0.6</v>
      </c>
      <c r="C12" s="59">
        <f>NORMSDIST(B12*SQRT(C11)-NORMSINV(1-C9))</f>
        <v>0.561647299407976</v>
      </c>
      <c r="D12" s="13"/>
      <c r="E12" s="13"/>
      <c r="I12" s="47">
        <v>0.05</v>
      </c>
      <c r="J12" s="58">
        <f t="shared" si="0"/>
        <v>0.06747643426517502</v>
      </c>
      <c r="K12" s="58">
        <f t="shared" si="0"/>
        <v>0.07424963222799397</v>
      </c>
      <c r="L12" s="58">
        <f t="shared" si="0"/>
        <v>0.08153013927293806</v>
      </c>
    </row>
    <row r="13" spans="2:12" ht="13.5">
      <c r="B13" s="30"/>
      <c r="C13" s="30"/>
      <c r="D13" s="30"/>
      <c r="E13" s="30"/>
      <c r="I13" s="7">
        <v>0.1</v>
      </c>
      <c r="J13" s="59">
        <f t="shared" si="0"/>
        <v>0.08933641621153332</v>
      </c>
      <c r="K13" s="59">
        <f t="shared" si="0"/>
        <v>0.10659296013803676</v>
      </c>
      <c r="L13" s="59">
        <f t="shared" si="0"/>
        <v>0.12613507997892337</v>
      </c>
    </row>
    <row r="14" spans="1:12" ht="13.5">
      <c r="A14" s="75" t="s">
        <v>123</v>
      </c>
      <c r="B14" s="19" t="s">
        <v>50</v>
      </c>
      <c r="C14" s="30">
        <v>0.05</v>
      </c>
      <c r="D14" s="30"/>
      <c r="E14" s="30"/>
      <c r="I14" s="7">
        <v>0.2</v>
      </c>
      <c r="J14" s="59">
        <f t="shared" si="0"/>
        <v>0.14804548004035167</v>
      </c>
      <c r="K14" s="59">
        <f t="shared" si="0"/>
        <v>0.1990964065617966</v>
      </c>
      <c r="L14" s="59">
        <f t="shared" si="0"/>
        <v>0.2595111598495684</v>
      </c>
    </row>
    <row r="15" spans="2:12" ht="13.5">
      <c r="B15" s="19" t="s">
        <v>52</v>
      </c>
      <c r="C15" s="166" t="s">
        <v>51</v>
      </c>
      <c r="D15" s="166"/>
      <c r="E15" s="166"/>
      <c r="I15" s="8">
        <v>0.4</v>
      </c>
      <c r="J15" s="59">
        <f t="shared" si="0"/>
        <v>0.32821301844056117</v>
      </c>
      <c r="K15" s="59">
        <f t="shared" si="0"/>
        <v>0.48211217456503475</v>
      </c>
      <c r="L15" s="59">
        <f t="shared" si="0"/>
        <v>0.6387602058926514</v>
      </c>
    </row>
    <row r="16" spans="3:12" ht="13.5">
      <c r="C16" s="53">
        <v>9</v>
      </c>
      <c r="D16" s="19">
        <v>16</v>
      </c>
      <c r="E16" s="19">
        <v>25</v>
      </c>
      <c r="I16" s="7">
        <v>0.6</v>
      </c>
      <c r="J16" s="59">
        <f t="shared" si="0"/>
        <v>0.561647299407976</v>
      </c>
      <c r="K16" s="59">
        <f t="shared" si="0"/>
        <v>0.7749196793848949</v>
      </c>
      <c r="L16" s="59">
        <f t="shared" si="0"/>
        <v>0.9123145769521451</v>
      </c>
    </row>
    <row r="17" spans="2:12" ht="13.5">
      <c r="B17" s="23">
        <v>0.6</v>
      </c>
      <c r="C17" s="59">
        <f>NORMSDIST($B17*SQRT(C$16)-NORMSINV(1-$C$14))</f>
        <v>0.561647299407976</v>
      </c>
      <c r="D17" s="13"/>
      <c r="E17" s="13"/>
      <c r="I17" s="8">
        <v>0.8</v>
      </c>
      <c r="J17" s="59">
        <f t="shared" si="0"/>
        <v>0.774919679384895</v>
      </c>
      <c r="K17" s="59">
        <f t="shared" si="0"/>
        <v>0.9400444568543582</v>
      </c>
      <c r="L17" s="59">
        <f t="shared" si="0"/>
        <v>0.9907423272208619</v>
      </c>
    </row>
    <row r="18" spans="2:12" ht="13.5">
      <c r="B18" s="30"/>
      <c r="C18" s="30"/>
      <c r="D18" s="30"/>
      <c r="E18" s="30"/>
      <c r="I18" s="14">
        <v>1</v>
      </c>
      <c r="J18" s="60">
        <f t="shared" si="0"/>
        <v>0.9123145769521451</v>
      </c>
      <c r="K18" s="60">
        <f t="shared" si="0"/>
        <v>0.9907423272208619</v>
      </c>
      <c r="L18" s="60">
        <f t="shared" si="0"/>
        <v>0.9996033311808225</v>
      </c>
    </row>
    <row r="19" ht="13.5">
      <c r="H19" s="75"/>
    </row>
  </sheetData>
  <mergeCells count="5">
    <mergeCell ref="C15:E15"/>
    <mergeCell ref="J2:L2"/>
    <mergeCell ref="E1:G1"/>
    <mergeCell ref="C10:E10"/>
    <mergeCell ref="E5:G5"/>
  </mergeCells>
  <printOptions/>
  <pageMargins left="0.75" right="0.75" top="1" bottom="1"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5"/>
  <dimension ref="A1:U87"/>
  <sheetViews>
    <sheetView workbookViewId="0" topLeftCell="A71">
      <selection activeCell="A73" sqref="A73:B73"/>
    </sheetView>
  </sheetViews>
  <sheetFormatPr defaultColWidth="8.796875" defaultRowHeight="14.25"/>
  <cols>
    <col min="1" max="1" width="4.3984375" style="0" bestFit="1" customWidth="1"/>
    <col min="2" max="3" width="5.5" style="0" bestFit="1" customWidth="1"/>
    <col min="4" max="6" width="7.59765625" style="0" bestFit="1" customWidth="1"/>
    <col min="7" max="7" width="8.59765625" style="0" customWidth="1"/>
    <col min="8" max="8" width="10.5" style="0" customWidth="1"/>
    <col min="9" max="9" width="11.5" style="0" customWidth="1"/>
    <col min="12" max="12" width="14.5" style="0" customWidth="1"/>
  </cols>
  <sheetData>
    <row r="1" spans="1:2" ht="13.5">
      <c r="A1" t="s">
        <v>207</v>
      </c>
      <c r="B1" t="s">
        <v>418</v>
      </c>
    </row>
    <row r="2" spans="1:6" ht="13.5">
      <c r="A2" s="39"/>
      <c r="B2" s="39"/>
      <c r="C2" s="5"/>
      <c r="D2" s="159" t="s">
        <v>30</v>
      </c>
      <c r="E2" s="159"/>
      <c r="F2" s="159"/>
    </row>
    <row r="3" spans="1:6" ht="13.5">
      <c r="A3" s="19" t="s">
        <v>28</v>
      </c>
      <c r="B3" s="19" t="s">
        <v>0</v>
      </c>
      <c r="C3" s="31" t="s">
        <v>184</v>
      </c>
      <c r="D3" s="42" t="s">
        <v>33</v>
      </c>
      <c r="E3" s="42" t="s">
        <v>34</v>
      </c>
      <c r="F3" s="42" t="s">
        <v>29</v>
      </c>
    </row>
    <row r="4" spans="1:9" ht="13.5">
      <c r="A4" s="52">
        <v>10</v>
      </c>
      <c r="B4" s="39">
        <v>0.05</v>
      </c>
      <c r="C4" s="11">
        <v>0.5</v>
      </c>
      <c r="D4" s="58">
        <f aca="true" t="shared" si="0" ref="D4:D9">1-NORMSDIST(NORMSINV(1-B4)-C4*SQRT(A4))</f>
        <v>0.47459884046221945</v>
      </c>
      <c r="E4" s="12">
        <f aca="true" t="shared" si="1" ref="E4:E9">NORMSDIST(-NORMSINV(1-B4)-C4*SQRT(A4))</f>
        <v>0.0006277474963488627</v>
      </c>
      <c r="F4" s="55">
        <f aca="true" t="shared" si="2" ref="F4:F9">NORMSDIST(-NORMSINV(1-B4/2)-C4*SQRT(A4))+1-NORMSDIST(NORMSINV(1-B4/2)-C4*SQRT(A4))</f>
        <v>0.35260925674296884</v>
      </c>
      <c r="H4" t="s">
        <v>208</v>
      </c>
      <c r="I4">
        <v>0.353</v>
      </c>
    </row>
    <row r="5" spans="1:21" ht="13.5">
      <c r="A5" s="30">
        <v>20</v>
      </c>
      <c r="B5" s="30">
        <v>0.05</v>
      </c>
      <c r="C5" s="8">
        <v>0.5</v>
      </c>
      <c r="D5" s="59">
        <f t="shared" si="0"/>
        <v>0.7228118550992545</v>
      </c>
      <c r="E5" s="59">
        <f t="shared" si="1"/>
        <v>5.2050931001135226E-05</v>
      </c>
      <c r="F5" s="56">
        <f t="shared" si="2"/>
        <v>0.6087805470291873</v>
      </c>
      <c r="H5" t="s">
        <v>209</v>
      </c>
      <c r="I5">
        <v>0.609</v>
      </c>
      <c r="U5">
        <v>2</v>
      </c>
    </row>
    <row r="6" spans="1:9" ht="13.5">
      <c r="A6" s="30">
        <v>9</v>
      </c>
      <c r="B6" s="30">
        <v>0.05</v>
      </c>
      <c r="C6" s="7">
        <v>1</v>
      </c>
      <c r="D6" s="56">
        <f t="shared" si="0"/>
        <v>0.9123145769521451</v>
      </c>
      <c r="E6" s="59">
        <f t="shared" si="1"/>
        <v>1.7034487641565121E-06</v>
      </c>
      <c r="F6" s="59">
        <f t="shared" si="2"/>
        <v>0.8508394220953828</v>
      </c>
      <c r="H6" t="s">
        <v>210</v>
      </c>
      <c r="I6">
        <v>0.912</v>
      </c>
    </row>
    <row r="7" spans="1:9" ht="13.5">
      <c r="A7" s="30">
        <v>9</v>
      </c>
      <c r="B7" s="30">
        <v>0.05</v>
      </c>
      <c r="C7" s="8">
        <v>1.5</v>
      </c>
      <c r="D7" s="56">
        <f t="shared" si="0"/>
        <v>0.997849089872709</v>
      </c>
      <c r="E7" s="59">
        <f t="shared" si="1"/>
        <v>4.017682853074689E-10</v>
      </c>
      <c r="F7" s="59">
        <f t="shared" si="2"/>
        <v>0.9944579707231335</v>
      </c>
      <c r="H7" t="s">
        <v>211</v>
      </c>
      <c r="I7">
        <v>0.998</v>
      </c>
    </row>
    <row r="8" spans="1:9" ht="13.5">
      <c r="A8" s="30">
        <v>8</v>
      </c>
      <c r="B8" s="30">
        <v>0.05</v>
      </c>
      <c r="C8" s="7">
        <v>-1</v>
      </c>
      <c r="D8" s="59">
        <f t="shared" si="0"/>
        <v>3.854873154574001E-06</v>
      </c>
      <c r="E8" s="56">
        <f t="shared" si="1"/>
        <v>0.881709096610311</v>
      </c>
      <c r="F8" s="59">
        <f t="shared" si="2"/>
        <v>0.8074312595773823</v>
      </c>
      <c r="H8" t="s">
        <v>212</v>
      </c>
      <c r="I8">
        <v>0.882</v>
      </c>
    </row>
    <row r="9" spans="1:9" ht="13.5">
      <c r="A9" s="30">
        <v>16</v>
      </c>
      <c r="B9" s="30">
        <v>0.05</v>
      </c>
      <c r="C9" s="7">
        <v>-1</v>
      </c>
      <c r="D9" s="59">
        <f t="shared" si="0"/>
        <v>8.288984720827841E-09</v>
      </c>
      <c r="E9" s="56">
        <f t="shared" si="1"/>
        <v>0.9907423272208619</v>
      </c>
      <c r="F9" s="59">
        <f t="shared" si="2"/>
        <v>0.9793268447101474</v>
      </c>
      <c r="H9" t="s">
        <v>213</v>
      </c>
      <c r="I9">
        <v>0.991</v>
      </c>
    </row>
    <row r="10" spans="1:9" ht="14.25">
      <c r="A10" s="52">
        <v>17</v>
      </c>
      <c r="B10" s="39">
        <v>0.05</v>
      </c>
      <c r="C10" s="114">
        <v>0.8</v>
      </c>
      <c r="D10" s="58">
        <f aca="true" t="shared" si="3" ref="D10:D15">NORMSDIST(C10*SQRT(A10)-NORMSINV(1-B10))</f>
        <v>0.9508988139592798</v>
      </c>
      <c r="E10" s="12">
        <f aca="true" t="shared" si="4" ref="E10:E15">NORMSDIST(-C10*SQRT(A10)-NORMSINV(1-B10))</f>
        <v>3.8455623008193385E-07</v>
      </c>
      <c r="F10" s="55">
        <f aca="true" t="shared" si="5" ref="F10:F15">NORMSDIST(C10*SQRT(A10)-NORMSINV(1-B10/2))+NORMSDIST(-C10*SQRT(A10)-NORMSINV(1-B10/2))</f>
        <v>0.9096370752740917</v>
      </c>
      <c r="H10" t="s">
        <v>215</v>
      </c>
      <c r="I10">
        <v>17</v>
      </c>
    </row>
    <row r="11" spans="1:9" ht="14.25">
      <c r="A11" s="53">
        <v>21</v>
      </c>
      <c r="B11" s="30">
        <v>0.05</v>
      </c>
      <c r="C11" s="7">
        <v>0.8</v>
      </c>
      <c r="D11" s="59">
        <f t="shared" si="3"/>
        <v>0.9783709272822168</v>
      </c>
      <c r="E11" s="59">
        <f t="shared" si="4"/>
        <v>5.4653328640519305E-08</v>
      </c>
      <c r="F11" s="56">
        <f t="shared" si="5"/>
        <v>0.956005261534678</v>
      </c>
      <c r="H11" t="s">
        <v>216</v>
      </c>
      <c r="I11">
        <v>21</v>
      </c>
    </row>
    <row r="12" spans="1:9" ht="14.25">
      <c r="A12" s="53">
        <v>9</v>
      </c>
      <c r="B12" s="30">
        <v>0.05</v>
      </c>
      <c r="C12" s="23">
        <v>1</v>
      </c>
      <c r="D12" s="56">
        <f t="shared" si="3"/>
        <v>0.9123145769521451</v>
      </c>
      <c r="E12" s="13">
        <f t="shared" si="4"/>
        <v>1.7034487641565121E-06</v>
      </c>
      <c r="F12" s="59">
        <f t="shared" si="5"/>
        <v>0.8508394220953829</v>
      </c>
      <c r="H12" t="s">
        <v>217</v>
      </c>
      <c r="I12">
        <v>9</v>
      </c>
    </row>
    <row r="13" spans="1:9" ht="14.25">
      <c r="A13" s="53">
        <v>35</v>
      </c>
      <c r="B13" s="30">
        <v>0.05</v>
      </c>
      <c r="C13" s="23">
        <v>0.5</v>
      </c>
      <c r="D13" s="56">
        <f t="shared" si="3"/>
        <v>0.9054399458678081</v>
      </c>
      <c r="E13" s="13">
        <f t="shared" si="4"/>
        <v>2.0854783492341156E-06</v>
      </c>
      <c r="F13" s="59">
        <f t="shared" si="5"/>
        <v>0.8408798603152162</v>
      </c>
      <c r="H13" t="s">
        <v>218</v>
      </c>
      <c r="I13">
        <v>35</v>
      </c>
    </row>
    <row r="14" spans="1:9" ht="14.25">
      <c r="A14" s="53">
        <v>6</v>
      </c>
      <c r="B14" s="30">
        <v>0.05</v>
      </c>
      <c r="C14" s="23">
        <v>-1.2</v>
      </c>
      <c r="D14" s="59">
        <f t="shared" si="3"/>
        <v>2.28051359807413E-06</v>
      </c>
      <c r="E14" s="56">
        <f t="shared" si="4"/>
        <v>0.9022595375401388</v>
      </c>
      <c r="F14" s="59">
        <f t="shared" si="5"/>
        <v>0.8363158663278152</v>
      </c>
      <c r="H14" t="s">
        <v>219</v>
      </c>
      <c r="I14">
        <v>6</v>
      </c>
    </row>
    <row r="15" spans="1:9" ht="14.25">
      <c r="A15" s="54">
        <v>5</v>
      </c>
      <c r="B15" s="40">
        <v>0.05</v>
      </c>
      <c r="C15" s="115">
        <v>-1.5</v>
      </c>
      <c r="D15" s="60">
        <f t="shared" si="3"/>
        <v>2.8866473689159733E-07</v>
      </c>
      <c r="E15" s="57">
        <f t="shared" si="4"/>
        <v>0.9562976122885011</v>
      </c>
      <c r="F15" s="60">
        <f t="shared" si="5"/>
        <v>0.9183624678990964</v>
      </c>
      <c r="H15" t="s">
        <v>220</v>
      </c>
      <c r="I15">
        <v>5</v>
      </c>
    </row>
    <row r="16" ht="14.25">
      <c r="A16">
        <v>2</v>
      </c>
    </row>
    <row r="17" ht="13.5">
      <c r="A17">
        <v>2</v>
      </c>
    </row>
    <row r="18" spans="1:2" ht="13.5">
      <c r="A18" t="s">
        <v>214</v>
      </c>
      <c r="B18" t="s">
        <v>419</v>
      </c>
    </row>
    <row r="19" spans="1:8" ht="13.5">
      <c r="A19" s="42">
        <v>2</v>
      </c>
      <c r="B19" s="42"/>
      <c r="C19" s="21"/>
      <c r="D19" s="159" t="s">
        <v>30</v>
      </c>
      <c r="E19" s="159"/>
      <c r="F19" s="159"/>
      <c r="G19" s="44"/>
      <c r="H19" s="44"/>
    </row>
    <row r="20" spans="1:8" ht="13.5">
      <c r="A20" s="4">
        <v>2</v>
      </c>
      <c r="B20" s="4" t="s">
        <v>0</v>
      </c>
      <c r="C20" s="6" t="s">
        <v>184</v>
      </c>
      <c r="D20" s="26" t="s">
        <v>33</v>
      </c>
      <c r="E20" s="26" t="s">
        <v>34</v>
      </c>
      <c r="F20" s="26" t="s">
        <v>29</v>
      </c>
      <c r="G20" s="44"/>
      <c r="H20" s="44"/>
    </row>
    <row r="21" spans="1:9" ht="13.5">
      <c r="A21" s="42">
        <v>10</v>
      </c>
      <c r="B21" s="42">
        <v>0.05</v>
      </c>
      <c r="C21" s="21">
        <v>0.5</v>
      </c>
      <c r="D21" s="122">
        <f aca="true" t="shared" si="6" ref="D21:D34">CHIDIST(CHIINV($B21,$A21-1)/$C21^2,$A21-1)</f>
        <v>4.340348875923318E-11</v>
      </c>
      <c r="E21" s="49">
        <f aca="true" t="shared" si="7" ref="E21:E34">1-CHIDIST(CHIINV(1-$B21,$A21-1)/$C21^2,$A21-1)</f>
        <v>0.8505246534508053</v>
      </c>
      <c r="F21" s="61">
        <f aca="true" t="shared" si="8" ref="F21:F34">1-CHIDIST(CHIINV(1-$B21/2,$A21-1)/$C21^2,$A21-1)+CHIDIST(CHIINV($B21/2,$A21-1)/$C21^2,$A21-1)</f>
        <v>0.7104429533454366</v>
      </c>
      <c r="G21" s="44"/>
      <c r="H21" t="s">
        <v>221</v>
      </c>
      <c r="I21" s="1">
        <v>0.71</v>
      </c>
    </row>
    <row r="22" spans="1:9" ht="13.5">
      <c r="A22" s="19">
        <v>20</v>
      </c>
      <c r="B22" s="19">
        <v>0.05</v>
      </c>
      <c r="C22" s="31">
        <v>0.5</v>
      </c>
      <c r="D22" s="69">
        <f t="shared" si="6"/>
        <v>8.662818212554199E-17</v>
      </c>
      <c r="E22" s="123">
        <f t="shared" si="7"/>
        <v>0.9971607138956574</v>
      </c>
      <c r="F22" s="68">
        <f t="shared" si="8"/>
        <v>0.988271709063603</v>
      </c>
      <c r="G22" s="44"/>
      <c r="H22" t="s">
        <v>222</v>
      </c>
      <c r="I22">
        <v>0.988</v>
      </c>
    </row>
    <row r="23" spans="1:9" ht="13.5">
      <c r="A23" s="19">
        <v>9</v>
      </c>
      <c r="B23" s="19">
        <v>0.05</v>
      </c>
      <c r="C23" s="31">
        <v>1.5</v>
      </c>
      <c r="D23" s="68">
        <f t="shared" si="6"/>
        <v>0.5483136715523379</v>
      </c>
      <c r="E23" s="123">
        <f t="shared" si="7"/>
        <v>0.0035034297742326803</v>
      </c>
      <c r="F23" s="123">
        <f t="shared" si="8"/>
        <v>0.45549628180665025</v>
      </c>
      <c r="G23" s="44"/>
      <c r="H23" t="s">
        <v>223</v>
      </c>
      <c r="I23">
        <v>0.548</v>
      </c>
    </row>
    <row r="24" spans="1:9" ht="13.5">
      <c r="A24" s="19">
        <v>9</v>
      </c>
      <c r="B24" s="19">
        <v>0.05</v>
      </c>
      <c r="C24" s="131">
        <v>2</v>
      </c>
      <c r="D24" s="68">
        <f t="shared" si="6"/>
        <v>0.8680618783639422</v>
      </c>
      <c r="E24" s="123">
        <f t="shared" si="7"/>
        <v>0.0004322808734524841</v>
      </c>
      <c r="F24" s="123">
        <f t="shared" si="8"/>
        <v>0.8211437503294801</v>
      </c>
      <c r="G24" s="44"/>
      <c r="H24" t="s">
        <v>224</v>
      </c>
      <c r="I24">
        <v>0.868</v>
      </c>
    </row>
    <row r="25" spans="1:9" ht="13.5">
      <c r="A25" s="19">
        <v>8</v>
      </c>
      <c r="B25" s="19">
        <v>0.05</v>
      </c>
      <c r="C25" s="31">
        <v>0.8</v>
      </c>
      <c r="D25" s="69">
        <f t="shared" si="6"/>
        <v>0.0025607757408914527</v>
      </c>
      <c r="E25" s="68">
        <f t="shared" si="7"/>
        <v>0.15290124466221167</v>
      </c>
      <c r="F25" s="123">
        <f t="shared" si="8"/>
        <v>0.08459454103547545</v>
      </c>
      <c r="G25" s="44"/>
      <c r="H25" t="s">
        <v>225</v>
      </c>
      <c r="I25">
        <v>0.153</v>
      </c>
    </row>
    <row r="26" spans="1:9" ht="13.5">
      <c r="A26" s="19">
        <v>16</v>
      </c>
      <c r="B26" s="19">
        <v>0.05</v>
      </c>
      <c r="C26" s="31">
        <v>0.8</v>
      </c>
      <c r="D26" s="69">
        <f t="shared" si="6"/>
        <v>0.0006286370810247099</v>
      </c>
      <c r="E26" s="68">
        <f t="shared" si="7"/>
        <v>0.27223877252950446</v>
      </c>
      <c r="F26" s="123">
        <f t="shared" si="8"/>
        <v>0.16709234018721963</v>
      </c>
      <c r="G26" s="44"/>
      <c r="H26" t="s">
        <v>226</v>
      </c>
      <c r="I26">
        <v>0.272</v>
      </c>
    </row>
    <row r="27" spans="1:9" ht="14.25">
      <c r="A27" s="42">
        <v>16</v>
      </c>
      <c r="B27" s="42">
        <v>0.05</v>
      </c>
      <c r="C27" s="21">
        <v>1.8</v>
      </c>
      <c r="D27" s="129">
        <f t="shared" si="6"/>
        <v>0.9347087728272294</v>
      </c>
      <c r="E27" s="129">
        <f t="shared" si="7"/>
        <v>6.269078602372247E-05</v>
      </c>
      <c r="F27" s="130">
        <f t="shared" si="8"/>
        <v>0.9029383619535678</v>
      </c>
      <c r="G27" s="44"/>
      <c r="H27" t="s">
        <v>227</v>
      </c>
      <c r="I27">
        <v>19</v>
      </c>
    </row>
    <row r="28" spans="1:7" ht="14.25">
      <c r="A28" s="19">
        <v>19</v>
      </c>
      <c r="B28" s="19">
        <v>0.05</v>
      </c>
      <c r="C28" s="31">
        <f>5/9</f>
        <v>0.5555555555555556</v>
      </c>
      <c r="D28" s="123">
        <f t="shared" si="6"/>
        <v>3.3279510152010395E-12</v>
      </c>
      <c r="E28" s="123">
        <f t="shared" si="7"/>
        <v>0.9664865840886235</v>
      </c>
      <c r="F28" s="68">
        <f t="shared" si="8"/>
        <v>0.914555141277051</v>
      </c>
      <c r="G28" s="44"/>
    </row>
    <row r="29" spans="1:9" ht="14.25">
      <c r="A29" s="19">
        <v>21</v>
      </c>
      <c r="B29" s="19">
        <v>0.05</v>
      </c>
      <c r="C29" s="31">
        <v>1.8</v>
      </c>
      <c r="D29" s="123">
        <f t="shared" si="6"/>
        <v>0.9733780545994097</v>
      </c>
      <c r="E29" s="123">
        <f t="shared" si="7"/>
        <v>1.0531611960296061E-05</v>
      </c>
      <c r="F29" s="68">
        <f t="shared" si="8"/>
        <v>0.9571576390642302</v>
      </c>
      <c r="G29" s="44"/>
      <c r="H29" t="s">
        <v>228</v>
      </c>
      <c r="I29">
        <v>22</v>
      </c>
    </row>
    <row r="30" spans="1:8" ht="14.25">
      <c r="A30" s="19">
        <v>22</v>
      </c>
      <c r="B30" s="19">
        <v>0.05</v>
      </c>
      <c r="C30" s="31">
        <f>5/9</f>
        <v>0.5555555555555556</v>
      </c>
      <c r="D30" s="123">
        <f t="shared" si="6"/>
        <v>2.6229494749535917E-13</v>
      </c>
      <c r="E30" s="123">
        <f t="shared" si="7"/>
        <v>0.9854785415636609</v>
      </c>
      <c r="F30" s="68">
        <f t="shared" si="8"/>
        <v>0.9571779030006932</v>
      </c>
      <c r="G30" s="44"/>
      <c r="H30" s="44"/>
    </row>
    <row r="31" spans="1:9" ht="14.25">
      <c r="A31" s="19">
        <v>11</v>
      </c>
      <c r="B31" s="19">
        <v>0.05</v>
      </c>
      <c r="C31" s="131">
        <v>2</v>
      </c>
      <c r="D31" s="68">
        <f t="shared" si="6"/>
        <v>0.9176020067833228</v>
      </c>
      <c r="E31" s="123">
        <f t="shared" si="7"/>
        <v>0.00016063195550508613</v>
      </c>
      <c r="F31" s="123">
        <f t="shared" si="8"/>
        <v>0.8830291921078425</v>
      </c>
      <c r="G31" s="44"/>
      <c r="H31" t="s">
        <v>229</v>
      </c>
      <c r="I31">
        <v>11</v>
      </c>
    </row>
    <row r="32" spans="1:9" ht="14.25">
      <c r="A32" s="19">
        <v>14</v>
      </c>
      <c r="B32" s="19">
        <v>0.05</v>
      </c>
      <c r="C32" s="131">
        <v>2</v>
      </c>
      <c r="D32" s="68">
        <f t="shared" si="6"/>
        <v>0.9597963534213286</v>
      </c>
      <c r="E32" s="123">
        <f t="shared" si="7"/>
        <v>3.8804614165832696E-05</v>
      </c>
      <c r="F32" s="123">
        <f t="shared" si="8"/>
        <v>0.9392179807378451</v>
      </c>
      <c r="G32" s="44"/>
      <c r="H32" t="s">
        <v>230</v>
      </c>
      <c r="I32">
        <v>14</v>
      </c>
    </row>
    <row r="33" spans="1:9" ht="14.25">
      <c r="A33" s="19">
        <v>12</v>
      </c>
      <c r="B33" s="19">
        <v>0.05</v>
      </c>
      <c r="C33" s="31">
        <v>0.5</v>
      </c>
      <c r="D33" s="123">
        <f t="shared" si="6"/>
        <v>2.6303811566038782E-12</v>
      </c>
      <c r="E33" s="68">
        <f t="shared" si="7"/>
        <v>0.9251080184944893</v>
      </c>
      <c r="F33" s="123">
        <f t="shared" si="8"/>
        <v>0.8292281849220091</v>
      </c>
      <c r="G33" s="44"/>
      <c r="H33" t="s">
        <v>231</v>
      </c>
      <c r="I33">
        <v>12</v>
      </c>
    </row>
    <row r="34" spans="1:9" ht="14.25">
      <c r="A34" s="4">
        <v>14</v>
      </c>
      <c r="B34" s="4">
        <v>0.05</v>
      </c>
      <c r="C34" s="6">
        <v>0.5</v>
      </c>
      <c r="D34" s="124">
        <f t="shared" si="6"/>
        <v>1.7818401936537563E-13</v>
      </c>
      <c r="E34" s="62">
        <f t="shared" si="7"/>
        <v>0.9646499582229224</v>
      </c>
      <c r="F34" s="124">
        <f t="shared" si="8"/>
        <v>0.9056578026946158</v>
      </c>
      <c r="G34" s="44"/>
      <c r="H34" t="s">
        <v>232</v>
      </c>
      <c r="I34">
        <v>14</v>
      </c>
    </row>
    <row r="37" spans="1:3" ht="13.5">
      <c r="A37" t="s">
        <v>233</v>
      </c>
      <c r="B37" s="40" t="s">
        <v>420</v>
      </c>
      <c r="C37" s="40"/>
    </row>
    <row r="38" spans="1:6" ht="13.5">
      <c r="A38" s="39"/>
      <c r="B38" s="39"/>
      <c r="C38" s="5"/>
      <c r="D38" s="159" t="s">
        <v>30</v>
      </c>
      <c r="E38" s="159"/>
      <c r="F38" s="159"/>
    </row>
    <row r="39" spans="1:6" ht="13.5">
      <c r="A39" s="4" t="s">
        <v>2</v>
      </c>
      <c r="B39" s="4" t="s">
        <v>0</v>
      </c>
      <c r="C39" s="6" t="s">
        <v>184</v>
      </c>
      <c r="D39" s="42" t="s">
        <v>33</v>
      </c>
      <c r="E39" s="42" t="s">
        <v>34</v>
      </c>
      <c r="F39" s="42" t="s">
        <v>29</v>
      </c>
    </row>
    <row r="40" spans="1:9" ht="13.5">
      <c r="A40" s="39">
        <v>10</v>
      </c>
      <c r="B40" s="39">
        <v>0.05</v>
      </c>
      <c r="C40" s="5">
        <v>0.5</v>
      </c>
      <c r="D40" s="58">
        <f aca="true" t="shared" si="9" ref="D40:D51">NTDIST(TINV(B40*2,A40-1),A40-1,C40*SQRT(A40))</f>
        <v>0.4272894254710231</v>
      </c>
      <c r="E40" s="58">
        <f aca="true" t="shared" si="10" ref="E40:E51">NTDIST(TINV(B40*2,A40-1),A40-1,-C40*SQRT(A40))</f>
        <v>0.0009128002852807349</v>
      </c>
      <c r="F40" s="55">
        <f aca="true" t="shared" si="11" ref="F40:F51">NTDIST(TINV(B40,A40-1),A40-1,C40*SQRT(A40))+NTDIST(TINV(B40,A40-1),A40-1,-C40*SQRT(A40))</f>
        <v>0.29317511213707426</v>
      </c>
      <c r="H40" t="s">
        <v>234</v>
      </c>
      <c r="I40">
        <v>0.293</v>
      </c>
    </row>
    <row r="41" spans="1:9" ht="13.5">
      <c r="A41" s="30">
        <v>20</v>
      </c>
      <c r="B41" s="30">
        <v>0.05</v>
      </c>
      <c r="C41" s="8">
        <v>0.5</v>
      </c>
      <c r="D41" s="59">
        <f t="shared" si="9"/>
        <v>0.6951498926204799</v>
      </c>
      <c r="E41" s="59">
        <f t="shared" si="10"/>
        <v>7.075686995106079E-05</v>
      </c>
      <c r="F41" s="56">
        <f t="shared" si="11"/>
        <v>0.564504171915847</v>
      </c>
      <c r="H41" t="s">
        <v>235</v>
      </c>
      <c r="I41">
        <v>0.565</v>
      </c>
    </row>
    <row r="42" spans="1:9" ht="13.5">
      <c r="A42" s="30">
        <v>9</v>
      </c>
      <c r="B42" s="30">
        <v>0.05</v>
      </c>
      <c r="C42" s="7">
        <v>1</v>
      </c>
      <c r="D42" s="56">
        <f t="shared" si="9"/>
        <v>0.8618135793677967</v>
      </c>
      <c r="E42" s="59">
        <f t="shared" si="10"/>
        <v>4.858888668635153E-06</v>
      </c>
      <c r="F42" s="59">
        <f t="shared" si="11"/>
        <v>0.7480166620607498</v>
      </c>
      <c r="H42" t="s">
        <v>236</v>
      </c>
      <c r="I42">
        <v>0.863</v>
      </c>
    </row>
    <row r="43" spans="1:9" ht="13.5">
      <c r="A43" s="30">
        <v>9</v>
      </c>
      <c r="B43" s="30">
        <v>0.05</v>
      </c>
      <c r="C43" s="7">
        <v>1.5</v>
      </c>
      <c r="D43" s="56">
        <f t="shared" si="9"/>
        <v>0.9926044292683546</v>
      </c>
      <c r="E43" s="59">
        <f t="shared" si="10"/>
        <v>5.766230937176431E-09</v>
      </c>
      <c r="F43" s="59">
        <f t="shared" si="11"/>
        <v>0.9747104162509728</v>
      </c>
      <c r="H43" t="s">
        <v>237</v>
      </c>
      <c r="I43">
        <v>0.993</v>
      </c>
    </row>
    <row r="44" spans="1:9" ht="13.5">
      <c r="A44" s="30">
        <v>8</v>
      </c>
      <c r="B44" s="30">
        <v>0.05</v>
      </c>
      <c r="C44" s="7">
        <v>-1</v>
      </c>
      <c r="D44" s="59">
        <f t="shared" si="9"/>
        <v>1.1064247230629931E-05</v>
      </c>
      <c r="E44" s="56">
        <f t="shared" si="10"/>
        <v>0.815019745952579</v>
      </c>
      <c r="F44" s="59">
        <f t="shared" si="11"/>
        <v>0.6808344429461162</v>
      </c>
      <c r="H44" t="s">
        <v>238</v>
      </c>
      <c r="I44">
        <v>0.815</v>
      </c>
    </row>
    <row r="45" spans="1:9" ht="13.5">
      <c r="A45" s="40">
        <v>16</v>
      </c>
      <c r="B45" s="40">
        <v>0.05</v>
      </c>
      <c r="C45" s="14">
        <v>-1</v>
      </c>
      <c r="D45" s="60">
        <f t="shared" si="9"/>
        <v>5.495740040828423E-08</v>
      </c>
      <c r="E45" s="57">
        <f t="shared" si="10"/>
        <v>0.9848476093482972</v>
      </c>
      <c r="F45" s="60">
        <f t="shared" si="11"/>
        <v>0.9618849955765871</v>
      </c>
      <c r="H45" t="s">
        <v>239</v>
      </c>
      <c r="I45">
        <v>0.985</v>
      </c>
    </row>
    <row r="46" spans="1:9" ht="14.25">
      <c r="A46" s="39">
        <v>19</v>
      </c>
      <c r="B46" s="39">
        <v>0.05</v>
      </c>
      <c r="C46" s="5">
        <v>0.8</v>
      </c>
      <c r="D46" s="58">
        <f t="shared" si="9"/>
        <v>0.9560779230988062</v>
      </c>
      <c r="E46" s="58">
        <f t="shared" si="10"/>
        <v>3.143997001631149E-07</v>
      </c>
      <c r="F46" s="55">
        <f t="shared" si="11"/>
        <v>0.909206771331563</v>
      </c>
      <c r="G46" s="44"/>
      <c r="H46" t="s">
        <v>241</v>
      </c>
      <c r="I46">
        <v>19</v>
      </c>
    </row>
    <row r="47" spans="1:9" ht="14.25">
      <c r="A47" s="30">
        <v>23</v>
      </c>
      <c r="B47" s="30">
        <v>0.05</v>
      </c>
      <c r="C47" s="8">
        <v>0.8</v>
      </c>
      <c r="D47" s="59">
        <f t="shared" si="9"/>
        <v>0.980778602718777</v>
      </c>
      <c r="E47" s="59">
        <f t="shared" si="10"/>
        <v>6.034225652484793E-08</v>
      </c>
      <c r="F47" s="56">
        <f t="shared" si="11"/>
        <v>0.9558495357528463</v>
      </c>
      <c r="G47" s="44"/>
      <c r="H47" t="s">
        <v>242</v>
      </c>
      <c r="I47">
        <v>23</v>
      </c>
    </row>
    <row r="48" spans="1:9" ht="14.25">
      <c r="A48" s="30">
        <v>11</v>
      </c>
      <c r="B48" s="30">
        <v>0.05</v>
      </c>
      <c r="C48" s="7">
        <v>1</v>
      </c>
      <c r="D48" s="56">
        <f t="shared" si="9"/>
        <v>0.9244889515944524</v>
      </c>
      <c r="E48" s="59">
        <f t="shared" si="10"/>
        <v>1.0068486825387524E-06</v>
      </c>
      <c r="F48" s="59">
        <f t="shared" si="11"/>
        <v>0.8475298900146093</v>
      </c>
      <c r="G48" s="44"/>
      <c r="H48" t="s">
        <v>243</v>
      </c>
      <c r="I48">
        <v>11</v>
      </c>
    </row>
    <row r="49" spans="1:9" ht="14.25">
      <c r="A49" s="30">
        <v>36</v>
      </c>
      <c r="B49" s="30">
        <v>0.05</v>
      </c>
      <c r="C49" s="7">
        <v>0.5</v>
      </c>
      <c r="D49" s="56">
        <f t="shared" si="9"/>
        <v>0.9025744106033268</v>
      </c>
      <c r="E49" s="59">
        <f t="shared" si="10"/>
        <v>2.2900391140057152E-06</v>
      </c>
      <c r="F49" s="59">
        <f t="shared" si="11"/>
        <v>0.8306649856999451</v>
      </c>
      <c r="G49" s="44"/>
      <c r="H49" t="s">
        <v>244</v>
      </c>
      <c r="I49">
        <v>36</v>
      </c>
    </row>
    <row r="50" spans="1:9" ht="14.25">
      <c r="A50" s="30">
        <v>8</v>
      </c>
      <c r="B50" s="30">
        <v>0.05</v>
      </c>
      <c r="C50" s="8">
        <v>-1.2</v>
      </c>
      <c r="D50" s="59">
        <f t="shared" si="9"/>
        <v>9.851115819747847E-07</v>
      </c>
      <c r="E50" s="56">
        <f t="shared" si="10"/>
        <v>0.918982327113136</v>
      </c>
      <c r="F50" s="59">
        <f t="shared" si="11"/>
        <v>0.8279204446822701</v>
      </c>
      <c r="G50" s="44"/>
      <c r="H50" t="s">
        <v>245</v>
      </c>
      <c r="I50">
        <v>8</v>
      </c>
    </row>
    <row r="51" spans="1:9" ht="14.25">
      <c r="A51" s="40">
        <v>7</v>
      </c>
      <c r="B51" s="40">
        <v>0.05</v>
      </c>
      <c r="C51" s="14">
        <v>-1.5</v>
      </c>
      <c r="D51" s="60">
        <f t="shared" si="9"/>
        <v>8.639022908152327E-08</v>
      </c>
      <c r="E51" s="57">
        <f t="shared" si="10"/>
        <v>0.9664762631267659</v>
      </c>
      <c r="F51" s="60">
        <f t="shared" si="11"/>
        <v>0.907662801585253</v>
      </c>
      <c r="G51" s="44"/>
      <c r="H51" t="s">
        <v>246</v>
      </c>
      <c r="I51">
        <v>7</v>
      </c>
    </row>
    <row r="54" spans="1:2" ht="13.5">
      <c r="A54" t="s">
        <v>240</v>
      </c>
      <c r="B54" t="s">
        <v>421</v>
      </c>
    </row>
    <row r="55" spans="1:7" ht="13.5">
      <c r="A55" s="39"/>
      <c r="B55" s="39"/>
      <c r="C55" s="39"/>
      <c r="D55" s="5"/>
      <c r="E55" s="159" t="s">
        <v>30</v>
      </c>
      <c r="F55" s="159"/>
      <c r="G55" s="159"/>
    </row>
    <row r="56" spans="1:7" ht="13.5">
      <c r="A56" s="4" t="s">
        <v>65</v>
      </c>
      <c r="B56" s="4" t="s">
        <v>66</v>
      </c>
      <c r="C56" s="4" t="s">
        <v>67</v>
      </c>
      <c r="D56" s="6" t="s">
        <v>68</v>
      </c>
      <c r="E56" s="26" t="s">
        <v>33</v>
      </c>
      <c r="F56" s="26" t="s">
        <v>105</v>
      </c>
      <c r="G56" s="26" t="s">
        <v>29</v>
      </c>
    </row>
    <row r="57" spans="1:10" ht="13.5">
      <c r="A57" s="39">
        <v>10</v>
      </c>
      <c r="B57" s="39">
        <v>11</v>
      </c>
      <c r="C57" s="39">
        <v>0.05</v>
      </c>
      <c r="D57" s="11">
        <v>0.5</v>
      </c>
      <c r="E57" s="58">
        <f aca="true" t="shared" si="12" ref="E57:E70">FDIST(FINV($C57,$A57-1,$B57-1)/$D57^2,$A57-1,$B57-1)</f>
        <v>0.00028094145922854716</v>
      </c>
      <c r="F57" s="58">
        <f aca="true" t="shared" si="13" ref="F57:F70">1-FDIST(FINV(1-$C57,$A57-1,$B57-1)/$D57^2,$A57-1,$B57-1)</f>
        <v>0.6465631472417187</v>
      </c>
      <c r="G57" s="56">
        <f aca="true" t="shared" si="14" ref="G57:G70">FDIST(FINV($C57/2,$A57-1,$B57-1)/$D57^2,$A57-1,$B57-1)+1-FDIST(FINV(1-$C57/2,$A57-1,$B57-1)/$D57^2,$A57-1,$B57-1)</f>
        <v>0.5101390117469504</v>
      </c>
      <c r="I57" t="s">
        <v>247</v>
      </c>
      <c r="J57">
        <v>0.511</v>
      </c>
    </row>
    <row r="58" spans="1:10" ht="13.5">
      <c r="A58" s="30">
        <v>10</v>
      </c>
      <c r="B58" s="30">
        <v>11</v>
      </c>
      <c r="C58" s="30">
        <v>0.05</v>
      </c>
      <c r="D58" s="7">
        <v>2</v>
      </c>
      <c r="E58" s="59">
        <f t="shared" si="12"/>
        <v>0.658309191128666</v>
      </c>
      <c r="F58" s="59">
        <f t="shared" si="13"/>
        <v>0.00039354992362095054</v>
      </c>
      <c r="G58" s="56">
        <f t="shared" si="14"/>
        <v>0.5294942838679605</v>
      </c>
      <c r="I58" t="s">
        <v>248</v>
      </c>
      <c r="J58">
        <v>0.529</v>
      </c>
    </row>
    <row r="59" spans="1:10" ht="13.5">
      <c r="A59" s="30">
        <v>9</v>
      </c>
      <c r="B59" s="30">
        <v>8</v>
      </c>
      <c r="C59" s="30">
        <v>0.05</v>
      </c>
      <c r="D59" s="7">
        <v>2</v>
      </c>
      <c r="E59" s="56">
        <f t="shared" si="12"/>
        <v>0.5439821952132587</v>
      </c>
      <c r="F59" s="59">
        <f t="shared" si="13"/>
        <v>0.0006513303329839237</v>
      </c>
      <c r="G59" s="59">
        <f t="shared" si="14"/>
        <v>0.40129381033776157</v>
      </c>
      <c r="I59" t="s">
        <v>249</v>
      </c>
      <c r="J59">
        <v>0.543</v>
      </c>
    </row>
    <row r="60" spans="1:10" ht="13.5">
      <c r="A60" s="30">
        <v>9</v>
      </c>
      <c r="B60" s="30">
        <v>8</v>
      </c>
      <c r="C60" s="30">
        <v>0.05</v>
      </c>
      <c r="D60" s="7">
        <v>2.5</v>
      </c>
      <c r="E60" s="56">
        <f t="shared" si="12"/>
        <v>0.7581563752036607</v>
      </c>
      <c r="F60" s="59">
        <f t="shared" si="13"/>
        <v>0.0001287929764767215</v>
      </c>
      <c r="G60" s="59">
        <f t="shared" si="14"/>
        <v>0.6326590961725065</v>
      </c>
      <c r="I60" t="s">
        <v>250</v>
      </c>
      <c r="J60">
        <v>0.758</v>
      </c>
    </row>
    <row r="61" spans="1:10" ht="13.5">
      <c r="A61" s="30">
        <v>8</v>
      </c>
      <c r="B61" s="30">
        <v>10</v>
      </c>
      <c r="C61" s="30">
        <v>0.05</v>
      </c>
      <c r="D61" s="7">
        <v>0.5</v>
      </c>
      <c r="E61" s="59">
        <f t="shared" si="12"/>
        <v>0.0004476983473807189</v>
      </c>
      <c r="F61" s="56">
        <f t="shared" si="13"/>
        <v>0.5576279722640567</v>
      </c>
      <c r="G61" s="59">
        <f t="shared" si="14"/>
        <v>0.41187335453071405</v>
      </c>
      <c r="I61" t="s">
        <v>251</v>
      </c>
      <c r="J61">
        <v>0.557</v>
      </c>
    </row>
    <row r="62" spans="1:10" ht="13.5">
      <c r="A62" s="30">
        <v>8</v>
      </c>
      <c r="B62" s="117">
        <v>10</v>
      </c>
      <c r="C62" s="30">
        <v>0.05</v>
      </c>
      <c r="D62" s="7">
        <f>1/3</f>
        <v>0.3333333333333333</v>
      </c>
      <c r="E62" s="59">
        <f t="shared" si="12"/>
        <v>1.619942994673354E-05</v>
      </c>
      <c r="F62" s="56">
        <f t="shared" si="13"/>
        <v>0.8944189255271032</v>
      </c>
      <c r="G62" s="59">
        <f t="shared" si="14"/>
        <v>0.8112923886424176</v>
      </c>
      <c r="I62" t="s">
        <v>252</v>
      </c>
      <c r="J62">
        <v>0.894</v>
      </c>
    </row>
    <row r="63" spans="1:10" ht="14.25">
      <c r="A63" s="39">
        <v>24</v>
      </c>
      <c r="B63" s="39">
        <f aca="true" t="shared" si="15" ref="B63:B70">A63</f>
        <v>24</v>
      </c>
      <c r="C63" s="39">
        <v>0.05</v>
      </c>
      <c r="D63" s="11">
        <v>2</v>
      </c>
      <c r="E63" s="58">
        <f t="shared" si="12"/>
        <v>0.9464896847316231</v>
      </c>
      <c r="F63" s="58">
        <f t="shared" si="13"/>
        <v>2.2220198139244474E-06</v>
      </c>
      <c r="G63" s="55">
        <f t="shared" si="14"/>
        <v>0.9019493156764957</v>
      </c>
      <c r="H63" s="44"/>
      <c r="I63" t="s">
        <v>253</v>
      </c>
      <c r="J63">
        <v>24</v>
      </c>
    </row>
    <row r="64" spans="1:8" ht="14.25">
      <c r="A64" s="30">
        <v>15</v>
      </c>
      <c r="B64" s="30">
        <f t="shared" si="15"/>
        <v>15</v>
      </c>
      <c r="C64" s="30">
        <v>0.05</v>
      </c>
      <c r="D64" s="7">
        <v>0.4</v>
      </c>
      <c r="E64" s="59">
        <f t="shared" si="12"/>
        <v>3.6846343904025773E-06</v>
      </c>
      <c r="F64" s="59">
        <f t="shared" si="13"/>
        <v>0.9523135496087096</v>
      </c>
      <c r="G64" s="56">
        <f t="shared" si="14"/>
        <v>0.9110382371408136</v>
      </c>
      <c r="H64" s="44"/>
    </row>
    <row r="65" spans="1:10" ht="14.25">
      <c r="A65" s="30">
        <v>13</v>
      </c>
      <c r="B65" s="30">
        <f t="shared" si="15"/>
        <v>13</v>
      </c>
      <c r="C65" s="30">
        <v>0.05</v>
      </c>
      <c r="D65" s="7">
        <v>3</v>
      </c>
      <c r="E65" s="59">
        <f t="shared" si="12"/>
        <v>0.9769389611615777</v>
      </c>
      <c r="F65" s="59">
        <f t="shared" si="13"/>
        <v>1.5249002336403805E-06</v>
      </c>
      <c r="G65" s="56">
        <f t="shared" si="14"/>
        <v>0.9535181906036126</v>
      </c>
      <c r="H65" s="44"/>
      <c r="I65" t="s">
        <v>254</v>
      </c>
      <c r="J65">
        <v>13</v>
      </c>
    </row>
    <row r="66" spans="1:8" ht="14.25">
      <c r="A66" s="30">
        <v>9</v>
      </c>
      <c r="B66" s="30">
        <f t="shared" si="15"/>
        <v>9</v>
      </c>
      <c r="C66" s="30">
        <v>0.05</v>
      </c>
      <c r="D66" s="45">
        <v>0.25</v>
      </c>
      <c r="E66" s="59">
        <f t="shared" si="12"/>
        <v>3.4063119608053145E-06</v>
      </c>
      <c r="F66" s="59">
        <f t="shared" si="13"/>
        <v>0.9782509882865466</v>
      </c>
      <c r="G66" s="56">
        <f t="shared" si="14"/>
        <v>0.9559808330259225</v>
      </c>
      <c r="H66" s="44"/>
    </row>
    <row r="67" spans="1:10" ht="14.25">
      <c r="A67" s="30">
        <v>20</v>
      </c>
      <c r="B67" s="30">
        <f t="shared" si="15"/>
        <v>20</v>
      </c>
      <c r="C67" s="30">
        <v>0.05</v>
      </c>
      <c r="D67" s="7">
        <v>2</v>
      </c>
      <c r="E67" s="56">
        <f t="shared" si="12"/>
        <v>0.9044372870466595</v>
      </c>
      <c r="F67" s="59">
        <f t="shared" si="13"/>
        <v>8.941966967768167E-06</v>
      </c>
      <c r="G67" s="59">
        <f t="shared" si="14"/>
        <v>0.8374672153302767</v>
      </c>
      <c r="H67" s="44"/>
      <c r="I67" t="s">
        <v>255</v>
      </c>
      <c r="J67">
        <v>20</v>
      </c>
    </row>
    <row r="68" spans="1:10" ht="14.25">
      <c r="A68" s="30">
        <v>13</v>
      </c>
      <c r="B68" s="30">
        <f t="shared" si="15"/>
        <v>13</v>
      </c>
      <c r="C68" s="30">
        <v>0.05</v>
      </c>
      <c r="D68" s="7">
        <v>2.5</v>
      </c>
      <c r="E68" s="56">
        <f t="shared" si="12"/>
        <v>0.9210581653017267</v>
      </c>
      <c r="F68" s="59">
        <f t="shared" si="13"/>
        <v>1.1386323014561661E-05</v>
      </c>
      <c r="G68" s="59">
        <f t="shared" si="14"/>
        <v>0.8612726513896569</v>
      </c>
      <c r="H68" s="44"/>
      <c r="I68" t="s">
        <v>257</v>
      </c>
      <c r="J68">
        <v>13</v>
      </c>
    </row>
    <row r="69" spans="1:10" ht="14.25">
      <c r="A69" s="30">
        <v>20</v>
      </c>
      <c r="B69" s="30">
        <f t="shared" si="15"/>
        <v>20</v>
      </c>
      <c r="C69" s="30">
        <v>0.05</v>
      </c>
      <c r="D69" s="7">
        <v>0.5</v>
      </c>
      <c r="E69" s="59">
        <f t="shared" si="12"/>
        <v>8.94206655601201E-06</v>
      </c>
      <c r="F69" s="56">
        <f t="shared" si="13"/>
        <v>0.9044367732449473</v>
      </c>
      <c r="G69" s="59">
        <f t="shared" si="14"/>
        <v>0.8374656653375749</v>
      </c>
      <c r="H69" s="44"/>
      <c r="I69" t="s">
        <v>256</v>
      </c>
      <c r="J69">
        <v>20</v>
      </c>
    </row>
    <row r="70" spans="1:10" ht="14.25">
      <c r="A70" s="40">
        <v>8</v>
      </c>
      <c r="B70" s="40">
        <f t="shared" si="15"/>
        <v>8</v>
      </c>
      <c r="C70" s="40">
        <v>0.05</v>
      </c>
      <c r="D70" s="71">
        <v>0.25</v>
      </c>
      <c r="E70" s="60">
        <f t="shared" si="12"/>
        <v>9.83934488477984E-06</v>
      </c>
      <c r="F70" s="57">
        <f t="shared" si="13"/>
        <v>0.9617056824984253</v>
      </c>
      <c r="G70" s="60">
        <f t="shared" si="14"/>
        <v>0.9262831642309357</v>
      </c>
      <c r="H70" s="44"/>
      <c r="I70" t="s">
        <v>258</v>
      </c>
      <c r="J70">
        <v>8</v>
      </c>
    </row>
    <row r="73" spans="1:2" ht="13.5">
      <c r="A73" t="s">
        <v>259</v>
      </c>
      <c r="B73" t="s">
        <v>422</v>
      </c>
    </row>
    <row r="74" spans="1:7" ht="13.5">
      <c r="A74" s="39"/>
      <c r="B74" s="39"/>
      <c r="C74" s="39"/>
      <c r="D74" s="5"/>
      <c r="E74" s="159" t="s">
        <v>30</v>
      </c>
      <c r="F74" s="159"/>
      <c r="G74" s="159"/>
    </row>
    <row r="75" spans="1:7" ht="13.5">
      <c r="A75" s="4" t="s">
        <v>65</v>
      </c>
      <c r="B75" s="4" t="s">
        <v>66</v>
      </c>
      <c r="C75" s="4" t="s">
        <v>67</v>
      </c>
      <c r="D75" s="6" t="s">
        <v>68</v>
      </c>
      <c r="E75" s="26" t="s">
        <v>33</v>
      </c>
      <c r="F75" s="26" t="s">
        <v>34</v>
      </c>
      <c r="G75" s="26" t="s">
        <v>29</v>
      </c>
    </row>
    <row r="76" spans="1:10" ht="13.5">
      <c r="A76" s="39">
        <v>10</v>
      </c>
      <c r="B76" s="39">
        <v>12</v>
      </c>
      <c r="C76" s="39">
        <v>0.05</v>
      </c>
      <c r="D76" s="5">
        <v>0.5</v>
      </c>
      <c r="E76" s="58">
        <f aca="true" t="shared" si="16" ref="E76:E87">NTDIST(TINV(C76*2,A76+B76-2),A76+B76-2,D76*SQRT(A76*B76/(A76+B76)))</f>
        <v>0.30273210718923615</v>
      </c>
      <c r="F76" s="58">
        <f aca="true" t="shared" si="17" ref="F76:F87">NTDIST(TINV(C76*2,A76+B76-2),A76+B76-2,-D76*SQRT(A76*B76/(A76+B76)))</f>
        <v>0.002765330600483562</v>
      </c>
      <c r="G76" s="55">
        <f aca="true" t="shared" si="18" ref="G76:G87">NTDIST(TINV(C76,A76+B76-2),A76+B76-2,D76*SQRT(A76*B76/(A76+B76)))+NTDIST(TINV(C76,A76+B76-2),A76+B76-2,-D76*SQRT(A76*B76/(A76+B76)))</f>
        <v>0.19935422022080407</v>
      </c>
      <c r="I76" t="s">
        <v>260</v>
      </c>
      <c r="J76">
        <v>0.199</v>
      </c>
    </row>
    <row r="77" spans="1:10" ht="13.5">
      <c r="A77" s="30">
        <v>20</v>
      </c>
      <c r="B77" s="30">
        <v>22</v>
      </c>
      <c r="C77" s="30">
        <v>0.05</v>
      </c>
      <c r="D77" s="8">
        <v>0.5</v>
      </c>
      <c r="E77" s="59">
        <f t="shared" si="16"/>
        <v>0.4784865460412472</v>
      </c>
      <c r="F77" s="59">
        <f t="shared" si="17"/>
        <v>0.000605299612989163</v>
      </c>
      <c r="G77" s="56">
        <f t="shared" si="18"/>
        <v>0.35201321614082337</v>
      </c>
      <c r="I77" t="s">
        <v>261</v>
      </c>
      <c r="J77">
        <v>0.352</v>
      </c>
    </row>
    <row r="78" spans="1:10" ht="13.5">
      <c r="A78" s="30">
        <v>9</v>
      </c>
      <c r="B78" s="30">
        <v>8</v>
      </c>
      <c r="C78" s="30">
        <v>0.05</v>
      </c>
      <c r="D78" s="8">
        <v>1</v>
      </c>
      <c r="E78" s="56">
        <f t="shared" si="16"/>
        <v>0.6251513405555417</v>
      </c>
      <c r="F78" s="59">
        <f t="shared" si="17"/>
        <v>0.00014979393994518642</v>
      </c>
      <c r="G78" s="59">
        <f t="shared" si="18"/>
        <v>0.4863995232342686</v>
      </c>
      <c r="I78" t="s">
        <v>262</v>
      </c>
      <c r="J78">
        <v>0.625</v>
      </c>
    </row>
    <row r="79" spans="1:10" ht="13.5">
      <c r="A79" s="30">
        <v>9</v>
      </c>
      <c r="B79" s="30">
        <v>8</v>
      </c>
      <c r="C79" s="30">
        <v>0.05</v>
      </c>
      <c r="D79" s="8">
        <v>1.5</v>
      </c>
      <c r="E79" s="56">
        <f t="shared" si="16"/>
        <v>0.9029335653833646</v>
      </c>
      <c r="F79" s="59">
        <f t="shared" si="17"/>
        <v>2.1460970180964267E-06</v>
      </c>
      <c r="G79" s="59">
        <f t="shared" si="18"/>
        <v>0.8223978197029687</v>
      </c>
      <c r="I79" t="s">
        <v>263</v>
      </c>
      <c r="J79">
        <v>0.903</v>
      </c>
    </row>
    <row r="80" spans="1:10" ht="13.5">
      <c r="A80" s="30">
        <v>8</v>
      </c>
      <c r="B80" s="30">
        <v>10</v>
      </c>
      <c r="C80" s="30">
        <v>0.05</v>
      </c>
      <c r="D80" s="8">
        <v>-1</v>
      </c>
      <c r="E80" s="59">
        <f t="shared" si="16"/>
        <v>0.00012174362789252324</v>
      </c>
      <c r="F80" s="56">
        <f t="shared" si="17"/>
        <v>0.6454099491801756</v>
      </c>
      <c r="G80" s="59">
        <f t="shared" si="18"/>
        <v>0.5084550700798549</v>
      </c>
      <c r="I80" t="s">
        <v>264</v>
      </c>
      <c r="J80">
        <v>0.645</v>
      </c>
    </row>
    <row r="81" spans="1:10" ht="13.5">
      <c r="A81" s="30">
        <v>15</v>
      </c>
      <c r="B81" s="30">
        <v>17</v>
      </c>
      <c r="C81" s="30">
        <v>0.05</v>
      </c>
      <c r="D81" s="8">
        <v>-1</v>
      </c>
      <c r="E81" s="59">
        <f t="shared" si="16"/>
        <v>5.32430663247041E-06</v>
      </c>
      <c r="F81" s="56">
        <f t="shared" si="17"/>
        <v>0.8672470544722721</v>
      </c>
      <c r="G81" s="59">
        <f t="shared" si="18"/>
        <v>0.7798181971568658</v>
      </c>
      <c r="I81" t="s">
        <v>265</v>
      </c>
      <c r="J81">
        <v>0.867</v>
      </c>
    </row>
    <row r="82" spans="1:10" ht="14.25">
      <c r="A82" s="52">
        <v>34</v>
      </c>
      <c r="B82" s="39">
        <f aca="true" t="shared" si="19" ref="B82:B87">A82</f>
        <v>34</v>
      </c>
      <c r="C82" s="39">
        <v>0.05</v>
      </c>
      <c r="D82" s="11">
        <v>0.8</v>
      </c>
      <c r="E82" s="58">
        <f t="shared" si="16"/>
        <v>0.9473333700205199</v>
      </c>
      <c r="F82" s="58">
        <f t="shared" si="17"/>
        <v>5.17176337644365E-07</v>
      </c>
      <c r="G82" s="55">
        <f t="shared" si="18"/>
        <v>0.9015020297988738</v>
      </c>
      <c r="H82" s="44"/>
      <c r="I82" t="s">
        <v>266</v>
      </c>
      <c r="J82">
        <v>34</v>
      </c>
    </row>
    <row r="83" spans="1:10" ht="14.25">
      <c r="A83" s="53">
        <v>42</v>
      </c>
      <c r="B83" s="30">
        <f t="shared" si="19"/>
        <v>42</v>
      </c>
      <c r="C83" s="30">
        <v>0.05</v>
      </c>
      <c r="D83" s="7">
        <v>0.8</v>
      </c>
      <c r="E83" s="59">
        <f t="shared" si="16"/>
        <v>0.9767439639616783</v>
      </c>
      <c r="F83" s="59">
        <f t="shared" si="17"/>
        <v>9.842241588398082E-08</v>
      </c>
      <c r="G83" s="56">
        <f t="shared" si="18"/>
        <v>0.9518268016241884</v>
      </c>
      <c r="H83" s="44"/>
      <c r="I83" t="s">
        <v>267</v>
      </c>
      <c r="J83">
        <v>42</v>
      </c>
    </row>
    <row r="84" spans="1:10" ht="14.25">
      <c r="A84" s="53">
        <v>18</v>
      </c>
      <c r="B84" s="30">
        <f t="shared" si="19"/>
        <v>18</v>
      </c>
      <c r="C84" s="30">
        <v>0.05</v>
      </c>
      <c r="D84" s="7">
        <v>1</v>
      </c>
      <c r="E84" s="56">
        <f t="shared" si="16"/>
        <v>0.9022725526354479</v>
      </c>
      <c r="F84" s="59">
        <f t="shared" si="17"/>
        <v>2.3211062513128766E-06</v>
      </c>
      <c r="G84" s="59">
        <f t="shared" si="18"/>
        <v>0.8300408960839223</v>
      </c>
      <c r="H84" s="44"/>
      <c r="I84" t="s">
        <v>268</v>
      </c>
      <c r="J84">
        <v>18</v>
      </c>
    </row>
    <row r="85" spans="1:10" ht="14.25">
      <c r="A85" s="53">
        <v>70</v>
      </c>
      <c r="B85" s="30">
        <f t="shared" si="19"/>
        <v>70</v>
      </c>
      <c r="C85" s="30">
        <v>0.05</v>
      </c>
      <c r="D85" s="7">
        <v>0.5</v>
      </c>
      <c r="E85" s="56">
        <f t="shared" si="16"/>
        <v>0.9029653213371551</v>
      </c>
      <c r="F85" s="59">
        <f t="shared" si="17"/>
        <v>2.296913682364732E-06</v>
      </c>
      <c r="G85" s="59">
        <f t="shared" si="18"/>
        <v>0.8358218696603423</v>
      </c>
      <c r="H85" s="44"/>
      <c r="I85" t="s">
        <v>269</v>
      </c>
      <c r="J85">
        <v>70</v>
      </c>
    </row>
    <row r="86" spans="1:10" ht="14.25">
      <c r="A86" s="53">
        <v>13</v>
      </c>
      <c r="B86" s="30">
        <f t="shared" si="19"/>
        <v>13</v>
      </c>
      <c r="C86" s="30">
        <v>0.05</v>
      </c>
      <c r="D86" s="7">
        <v>-1.2</v>
      </c>
      <c r="E86" s="59">
        <f t="shared" si="16"/>
        <v>1.9666308000987343E-06</v>
      </c>
      <c r="F86" s="56">
        <f t="shared" si="17"/>
        <v>0.9076726715650386</v>
      </c>
      <c r="G86" s="59">
        <f t="shared" si="18"/>
        <v>0.8352253899656836</v>
      </c>
      <c r="H86" s="44"/>
      <c r="I86" t="s">
        <v>270</v>
      </c>
      <c r="J86">
        <v>13</v>
      </c>
    </row>
    <row r="87" spans="1:10" ht="14.25">
      <c r="A87" s="54">
        <v>11</v>
      </c>
      <c r="B87" s="40">
        <f t="shared" si="19"/>
        <v>11</v>
      </c>
      <c r="C87" s="40">
        <v>0.05</v>
      </c>
      <c r="D87" s="14">
        <v>-1.5</v>
      </c>
      <c r="E87" s="60">
        <f t="shared" si="16"/>
        <v>2.5980930806746017E-07</v>
      </c>
      <c r="F87" s="57">
        <f t="shared" si="17"/>
        <v>0.9599716284763049</v>
      </c>
      <c r="G87" s="60">
        <f t="shared" si="18"/>
        <v>0.9168992920406835</v>
      </c>
      <c r="H87" s="44"/>
      <c r="I87" t="s">
        <v>271</v>
      </c>
      <c r="J87">
        <v>11</v>
      </c>
    </row>
  </sheetData>
  <mergeCells count="5">
    <mergeCell ref="E74:G74"/>
    <mergeCell ref="D38:F38"/>
    <mergeCell ref="D2:F2"/>
    <mergeCell ref="D19:F19"/>
    <mergeCell ref="E55:G55"/>
  </mergeCells>
  <printOptions/>
  <pageMargins left="0.75" right="0.75" top="1" bottom="1" header="0.512" footer="0.512"/>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8"/>
  <dimension ref="A2:M76"/>
  <sheetViews>
    <sheetView zoomScale="75" zoomScaleNormal="75" workbookViewId="0" topLeftCell="A49">
      <selection activeCell="L83" sqref="L83"/>
    </sheetView>
  </sheetViews>
  <sheetFormatPr defaultColWidth="8.796875" defaultRowHeight="14.25"/>
  <cols>
    <col min="1" max="1" width="5" style="0" bestFit="1" customWidth="1"/>
    <col min="2" max="2" width="5.59765625" style="0" bestFit="1" customWidth="1"/>
    <col min="3" max="3" width="8.09765625" style="0" bestFit="1" customWidth="1"/>
    <col min="4" max="4" width="7.69921875" style="0" bestFit="1" customWidth="1"/>
    <col min="5" max="5" width="8.09765625" style="0" bestFit="1" customWidth="1"/>
    <col min="6" max="6" width="7.69921875" style="0" bestFit="1" customWidth="1"/>
    <col min="7" max="7" width="8.59765625" style="0" customWidth="1"/>
    <col min="8" max="8" width="10.5" style="0" customWidth="1"/>
    <col min="9" max="9" width="11.5" style="0" customWidth="1"/>
    <col min="10" max="10" width="9.09765625" style="0" bestFit="1" customWidth="1"/>
    <col min="12" max="12" width="14.5" style="0" customWidth="1"/>
  </cols>
  <sheetData>
    <row r="2" spans="1:2" ht="13.5">
      <c r="A2" t="s">
        <v>282</v>
      </c>
      <c r="B2" t="s">
        <v>423</v>
      </c>
    </row>
    <row r="3" spans="1:10" ht="13.5">
      <c r="A3" s="39"/>
      <c r="B3" s="39"/>
      <c r="C3" s="39"/>
      <c r="D3" s="39"/>
      <c r="E3" s="39"/>
      <c r="F3" s="5"/>
      <c r="G3" s="39"/>
      <c r="H3" s="5"/>
      <c r="I3" s="159" t="s">
        <v>64</v>
      </c>
      <c r="J3" s="159"/>
    </row>
    <row r="4" spans="1:10" ht="13.5">
      <c r="A4" s="4" t="s">
        <v>158</v>
      </c>
      <c r="B4" s="4" t="s">
        <v>168</v>
      </c>
      <c r="C4" s="4" t="s">
        <v>67</v>
      </c>
      <c r="D4" s="4" t="s">
        <v>284</v>
      </c>
      <c r="E4" s="4" t="s">
        <v>5</v>
      </c>
      <c r="F4" s="6" t="s">
        <v>159</v>
      </c>
      <c r="G4" s="4" t="s">
        <v>68</v>
      </c>
      <c r="H4" s="6" t="s">
        <v>285</v>
      </c>
      <c r="I4" s="121" t="s">
        <v>181</v>
      </c>
      <c r="J4" s="26" t="s">
        <v>180</v>
      </c>
    </row>
    <row r="5" spans="1:13" ht="13.5">
      <c r="A5" t="s">
        <v>286</v>
      </c>
      <c r="B5" s="114">
        <f>DEVSQ(B15:F15)</f>
        <v>2.3</v>
      </c>
      <c r="C5" s="39">
        <v>0.05</v>
      </c>
      <c r="D5" s="39">
        <v>5</v>
      </c>
      <c r="E5" s="39">
        <v>4</v>
      </c>
      <c r="F5" s="47">
        <v>1</v>
      </c>
      <c r="G5" s="43">
        <f aca="true" t="shared" si="0" ref="G5:G13">B5/F5^2</f>
        <v>2.3</v>
      </c>
      <c r="H5" s="11">
        <f aca="true" t="shared" si="1" ref="H5:H13">E5*G5</f>
        <v>9.2</v>
      </c>
      <c r="I5" s="55">
        <f aca="true" t="shared" si="2" ref="I5:I13">Ncdist(CHIINV(C5,D5-1),D5-1,H5)</f>
        <v>0.6744911301059463</v>
      </c>
      <c r="J5" s="12">
        <f aca="true" t="shared" si="3" ref="J5:J13">NFDIST(FINV(C5,D5-1,D5*(E5-1)),D5-1,D5*(E5-1),H5)</f>
        <v>0.525442993255728</v>
      </c>
      <c r="L5" t="s">
        <v>273</v>
      </c>
      <c r="M5">
        <v>0.674</v>
      </c>
    </row>
    <row r="6" spans="1:13" ht="13.5">
      <c r="A6" s="30">
        <v>2</v>
      </c>
      <c r="B6" s="23">
        <f aca="true" t="shared" si="4" ref="B6:B13">A6^2/2</f>
        <v>2</v>
      </c>
      <c r="C6" s="30">
        <v>0.05</v>
      </c>
      <c r="D6" s="30">
        <v>5</v>
      </c>
      <c r="E6" s="30">
        <v>4</v>
      </c>
      <c r="F6" s="45">
        <v>1</v>
      </c>
      <c r="G6" s="37">
        <f t="shared" si="0"/>
        <v>2</v>
      </c>
      <c r="H6" s="23">
        <f t="shared" si="1"/>
        <v>8</v>
      </c>
      <c r="I6" s="56">
        <f t="shared" si="2"/>
        <v>0.6047247046562043</v>
      </c>
      <c r="J6" s="13">
        <f t="shared" si="3"/>
        <v>0.4635962087614868</v>
      </c>
      <c r="L6" t="s">
        <v>274</v>
      </c>
      <c r="M6">
        <v>0.605</v>
      </c>
    </row>
    <row r="7" spans="1:13" ht="13.5">
      <c r="A7" s="30">
        <v>2</v>
      </c>
      <c r="B7" s="23">
        <f t="shared" si="4"/>
        <v>2</v>
      </c>
      <c r="C7" s="30">
        <v>0.05</v>
      </c>
      <c r="D7" s="30">
        <v>5</v>
      </c>
      <c r="E7" s="30">
        <v>8</v>
      </c>
      <c r="F7" s="45">
        <v>1</v>
      </c>
      <c r="G7" s="37">
        <f t="shared" si="0"/>
        <v>2</v>
      </c>
      <c r="H7" s="7">
        <f t="shared" si="1"/>
        <v>16</v>
      </c>
      <c r="I7" s="56">
        <f t="shared" si="2"/>
        <v>0.9118530886832467</v>
      </c>
      <c r="J7" s="13">
        <f t="shared" si="3"/>
        <v>0.8657380855053407</v>
      </c>
      <c r="L7" t="s">
        <v>275</v>
      </c>
      <c r="M7">
        <v>0.912</v>
      </c>
    </row>
    <row r="8" spans="1:13" ht="13.5">
      <c r="A8" s="30">
        <v>1</v>
      </c>
      <c r="B8" s="23">
        <f t="shared" si="4"/>
        <v>0.5</v>
      </c>
      <c r="C8" s="30">
        <v>0.05</v>
      </c>
      <c r="D8" s="30">
        <v>3</v>
      </c>
      <c r="E8" s="30">
        <v>5</v>
      </c>
      <c r="F8" s="45">
        <f>SQRT(0.5)</f>
        <v>0.7071067811865476</v>
      </c>
      <c r="G8" s="37">
        <f t="shared" si="0"/>
        <v>0.9999999999999998</v>
      </c>
      <c r="H8" s="7">
        <f t="shared" si="1"/>
        <v>4.999999999999999</v>
      </c>
      <c r="I8" s="56">
        <f t="shared" si="2"/>
        <v>0.5036653884545795</v>
      </c>
      <c r="J8" s="13">
        <f t="shared" si="3"/>
        <v>0.40527365490403355</v>
      </c>
      <c r="L8" t="s">
        <v>276</v>
      </c>
      <c r="M8" s="134">
        <v>0.504</v>
      </c>
    </row>
    <row r="9" spans="1:13" ht="14.25">
      <c r="A9" s="117">
        <v>2</v>
      </c>
      <c r="B9" s="23">
        <f t="shared" si="4"/>
        <v>2</v>
      </c>
      <c r="C9" s="30">
        <v>0.05</v>
      </c>
      <c r="D9" s="30">
        <v>3</v>
      </c>
      <c r="E9" s="30">
        <v>5</v>
      </c>
      <c r="F9" s="45">
        <v>1</v>
      </c>
      <c r="G9" s="37">
        <f t="shared" si="0"/>
        <v>2</v>
      </c>
      <c r="H9" s="7">
        <f t="shared" si="1"/>
        <v>10</v>
      </c>
      <c r="I9" s="56">
        <f t="shared" si="2"/>
        <v>0.8154207112647264</v>
      </c>
      <c r="J9" s="13">
        <f t="shared" si="3"/>
        <v>0.7015087428318104</v>
      </c>
      <c r="L9" t="s">
        <v>277</v>
      </c>
      <c r="M9" s="134">
        <v>0.816</v>
      </c>
    </row>
    <row r="10" spans="1:13" ht="14.25">
      <c r="A10" s="39">
        <v>2</v>
      </c>
      <c r="B10" s="114">
        <f t="shared" si="4"/>
        <v>2</v>
      </c>
      <c r="C10" s="39">
        <v>0.05</v>
      </c>
      <c r="D10" s="39">
        <v>5</v>
      </c>
      <c r="E10" s="135">
        <v>8</v>
      </c>
      <c r="F10" s="47">
        <v>1</v>
      </c>
      <c r="G10" s="43">
        <f t="shared" si="0"/>
        <v>2</v>
      </c>
      <c r="H10" s="11">
        <f t="shared" si="1"/>
        <v>16</v>
      </c>
      <c r="I10" s="55">
        <f t="shared" si="2"/>
        <v>0.9118530886832467</v>
      </c>
      <c r="J10" s="12">
        <f t="shared" si="3"/>
        <v>0.8657380855053407</v>
      </c>
      <c r="K10" s="44"/>
      <c r="L10" t="s">
        <v>278</v>
      </c>
      <c r="M10">
        <v>8</v>
      </c>
    </row>
    <row r="11" spans="1:13" ht="14.25">
      <c r="A11" s="30">
        <v>3</v>
      </c>
      <c r="B11" s="23">
        <f t="shared" si="4"/>
        <v>4.5</v>
      </c>
      <c r="C11" s="30">
        <v>0.05</v>
      </c>
      <c r="D11" s="30">
        <v>5</v>
      </c>
      <c r="E11" s="30">
        <v>8</v>
      </c>
      <c r="F11" s="45">
        <f>SQRT(1.5)</f>
        <v>1.224744871391589</v>
      </c>
      <c r="G11" s="132">
        <f t="shared" si="0"/>
        <v>3.0000000000000004</v>
      </c>
      <c r="H11" s="7">
        <f t="shared" si="1"/>
        <v>24.000000000000004</v>
      </c>
      <c r="I11" s="56">
        <f t="shared" si="2"/>
        <v>0.986322968861034</v>
      </c>
      <c r="J11" s="13">
        <f t="shared" si="3"/>
        <v>0.9711060012495719</v>
      </c>
      <c r="L11" t="s">
        <v>281</v>
      </c>
      <c r="M11">
        <v>6</v>
      </c>
    </row>
    <row r="12" spans="1:13" ht="14.25">
      <c r="A12" s="30">
        <v>2</v>
      </c>
      <c r="B12" s="23">
        <f t="shared" si="4"/>
        <v>2</v>
      </c>
      <c r="C12" s="30">
        <v>0.05</v>
      </c>
      <c r="D12" s="30">
        <v>3</v>
      </c>
      <c r="E12" s="30">
        <v>6</v>
      </c>
      <c r="F12" s="45">
        <v>1</v>
      </c>
      <c r="G12" s="132">
        <f t="shared" si="0"/>
        <v>2</v>
      </c>
      <c r="H12" s="7">
        <f t="shared" si="1"/>
        <v>12</v>
      </c>
      <c r="I12" s="56">
        <f t="shared" si="2"/>
        <v>0.8831626298521741</v>
      </c>
      <c r="J12" s="13">
        <f t="shared" si="3"/>
        <v>0.8053175886861323</v>
      </c>
      <c r="L12" t="s">
        <v>279</v>
      </c>
      <c r="M12">
        <v>7</v>
      </c>
    </row>
    <row r="13" spans="1:13" ht="14.25">
      <c r="A13" s="40">
        <v>2</v>
      </c>
      <c r="B13" s="115">
        <f t="shared" si="4"/>
        <v>2</v>
      </c>
      <c r="C13" s="40">
        <v>0.05</v>
      </c>
      <c r="D13" s="40">
        <v>3</v>
      </c>
      <c r="E13" s="40">
        <v>7</v>
      </c>
      <c r="F13" s="71">
        <v>1</v>
      </c>
      <c r="G13" s="119">
        <f t="shared" si="0"/>
        <v>2</v>
      </c>
      <c r="H13" s="14">
        <f t="shared" si="1"/>
        <v>14</v>
      </c>
      <c r="I13" s="57">
        <f t="shared" si="2"/>
        <v>0.9280231643411173</v>
      </c>
      <c r="J13" s="15">
        <f t="shared" si="3"/>
        <v>0.8770083806295975</v>
      </c>
      <c r="L13" t="s">
        <v>280</v>
      </c>
      <c r="M13">
        <v>5</v>
      </c>
    </row>
    <row r="15" spans="1:6" ht="13.5">
      <c r="A15" t="s">
        <v>272</v>
      </c>
      <c r="B15">
        <v>7</v>
      </c>
      <c r="C15">
        <v>7.5</v>
      </c>
      <c r="D15">
        <v>7.5</v>
      </c>
      <c r="E15">
        <v>8</v>
      </c>
      <c r="F15">
        <v>9</v>
      </c>
    </row>
    <row r="18" spans="1:2" ht="13.5">
      <c r="A18" t="s">
        <v>283</v>
      </c>
      <c r="B18" t="s">
        <v>424</v>
      </c>
    </row>
    <row r="19" spans="1:10" ht="13.5">
      <c r="A19" s="39"/>
      <c r="B19" s="39"/>
      <c r="C19" s="39"/>
      <c r="D19" s="39"/>
      <c r="E19" s="39"/>
      <c r="F19" s="5"/>
      <c r="G19" s="39"/>
      <c r="H19" s="5"/>
      <c r="I19" s="159" t="s">
        <v>64</v>
      </c>
      <c r="J19" s="159"/>
    </row>
    <row r="20" spans="1:10" ht="13.5">
      <c r="A20" s="4" t="s">
        <v>158</v>
      </c>
      <c r="B20" s="4" t="s">
        <v>168</v>
      </c>
      <c r="C20" s="4" t="s">
        <v>67</v>
      </c>
      <c r="D20" s="4" t="s">
        <v>284</v>
      </c>
      <c r="E20" s="4" t="s">
        <v>5</v>
      </c>
      <c r="F20" s="6" t="s">
        <v>159</v>
      </c>
      <c r="G20" s="4" t="s">
        <v>68</v>
      </c>
      <c r="H20" s="6" t="s">
        <v>285</v>
      </c>
      <c r="I20" s="121" t="s">
        <v>181</v>
      </c>
      <c r="J20" s="26" t="s">
        <v>180</v>
      </c>
    </row>
    <row r="21" spans="1:13" ht="13.5">
      <c r="A21" t="s">
        <v>286</v>
      </c>
      <c r="B21" s="114">
        <f>DEVSQ(B31:F31)</f>
        <v>2.3</v>
      </c>
      <c r="C21" s="39">
        <v>0.05</v>
      </c>
      <c r="D21" s="39">
        <v>5</v>
      </c>
      <c r="E21" s="39">
        <v>4</v>
      </c>
      <c r="F21" s="47">
        <v>1</v>
      </c>
      <c r="G21" s="43">
        <f aca="true" t="shared" si="5" ref="G21:G29">B21/F21^2</f>
        <v>2.3</v>
      </c>
      <c r="H21" s="11">
        <f aca="true" t="shared" si="6" ref="H21:H29">E21*G21</f>
        <v>9.2</v>
      </c>
      <c r="I21" s="58">
        <f aca="true" t="shared" si="7" ref="I21:I29">Ncdist(CHIINV(C21,D21-1),D21-1,H21)</f>
        <v>0.6744911301059463</v>
      </c>
      <c r="J21" s="55">
        <f aca="true" t="shared" si="8" ref="J21:J29">NFDIST(FINV(C21,D21-1,D21*(E21-1)),D21-1,D21*(E21-1),H21)</f>
        <v>0.525442993255728</v>
      </c>
      <c r="L21" t="s">
        <v>273</v>
      </c>
      <c r="M21">
        <v>0.525</v>
      </c>
    </row>
    <row r="22" spans="1:13" ht="13.5">
      <c r="A22" s="30">
        <v>2</v>
      </c>
      <c r="B22" s="23">
        <f aca="true" t="shared" si="9" ref="B22:B29">A22^2/2</f>
        <v>2</v>
      </c>
      <c r="C22" s="30">
        <v>0.05</v>
      </c>
      <c r="D22" s="30">
        <v>5</v>
      </c>
      <c r="E22" s="30">
        <v>4</v>
      </c>
      <c r="F22" s="45">
        <v>1</v>
      </c>
      <c r="G22" s="37">
        <f t="shared" si="5"/>
        <v>2</v>
      </c>
      <c r="H22" s="23">
        <f t="shared" si="6"/>
        <v>8</v>
      </c>
      <c r="I22" s="59">
        <f t="shared" si="7"/>
        <v>0.6047247046562043</v>
      </c>
      <c r="J22" s="56">
        <f t="shared" si="8"/>
        <v>0.4635962087614868</v>
      </c>
      <c r="L22" t="s">
        <v>274</v>
      </c>
      <c r="M22">
        <v>0.463</v>
      </c>
    </row>
    <row r="23" spans="1:13" ht="13.5">
      <c r="A23" s="30">
        <v>2</v>
      </c>
      <c r="B23" s="23">
        <f t="shared" si="9"/>
        <v>2</v>
      </c>
      <c r="C23" s="30">
        <v>0.05</v>
      </c>
      <c r="D23" s="30">
        <v>5</v>
      </c>
      <c r="E23" s="30">
        <v>8</v>
      </c>
      <c r="F23" s="45">
        <v>1</v>
      </c>
      <c r="G23" s="37">
        <f t="shared" si="5"/>
        <v>2</v>
      </c>
      <c r="H23" s="7">
        <f t="shared" si="6"/>
        <v>16</v>
      </c>
      <c r="I23" s="59">
        <f t="shared" si="7"/>
        <v>0.9118530886832467</v>
      </c>
      <c r="J23" s="56">
        <f t="shared" si="8"/>
        <v>0.8657380855053407</v>
      </c>
      <c r="L23" t="s">
        <v>275</v>
      </c>
      <c r="M23">
        <v>0.866</v>
      </c>
    </row>
    <row r="24" spans="1:13" ht="13.5">
      <c r="A24" s="30">
        <v>1</v>
      </c>
      <c r="B24" s="23">
        <f t="shared" si="9"/>
        <v>0.5</v>
      </c>
      <c r="C24" s="30">
        <v>0.05</v>
      </c>
      <c r="D24" s="30">
        <v>3</v>
      </c>
      <c r="E24" s="30">
        <v>5</v>
      </c>
      <c r="F24" s="45">
        <f>SQRT(0.5)</f>
        <v>0.7071067811865476</v>
      </c>
      <c r="G24" s="37">
        <f t="shared" si="5"/>
        <v>0.9999999999999998</v>
      </c>
      <c r="H24" s="7">
        <f t="shared" si="6"/>
        <v>4.999999999999999</v>
      </c>
      <c r="I24" s="59">
        <f t="shared" si="7"/>
        <v>0.5036653884545795</v>
      </c>
      <c r="J24" s="56">
        <f t="shared" si="8"/>
        <v>0.40527365490403355</v>
      </c>
      <c r="L24" t="s">
        <v>276</v>
      </c>
      <c r="M24" s="134">
        <v>0.405</v>
      </c>
    </row>
    <row r="25" spans="1:13" ht="14.25">
      <c r="A25" s="117">
        <v>2</v>
      </c>
      <c r="B25" s="23">
        <f t="shared" si="9"/>
        <v>2</v>
      </c>
      <c r="C25" s="30">
        <v>0.05</v>
      </c>
      <c r="D25" s="30">
        <v>3</v>
      </c>
      <c r="E25" s="30">
        <v>5</v>
      </c>
      <c r="F25" s="45">
        <v>1</v>
      </c>
      <c r="G25" s="37">
        <f t="shared" si="5"/>
        <v>2</v>
      </c>
      <c r="H25" s="7">
        <f t="shared" si="6"/>
        <v>10</v>
      </c>
      <c r="I25" s="59">
        <f t="shared" si="7"/>
        <v>0.8154207112647264</v>
      </c>
      <c r="J25" s="56">
        <f t="shared" si="8"/>
        <v>0.7015087428318104</v>
      </c>
      <c r="L25" t="s">
        <v>277</v>
      </c>
      <c r="M25" s="134">
        <v>0.701</v>
      </c>
    </row>
    <row r="26" spans="1:13" ht="14.25">
      <c r="A26" s="39">
        <v>2</v>
      </c>
      <c r="B26" s="114">
        <f t="shared" si="9"/>
        <v>2</v>
      </c>
      <c r="C26" s="39">
        <v>0.05</v>
      </c>
      <c r="D26" s="39">
        <v>5</v>
      </c>
      <c r="E26" s="135">
        <v>9</v>
      </c>
      <c r="F26" s="47">
        <v>1</v>
      </c>
      <c r="G26" s="43">
        <f t="shared" si="5"/>
        <v>2</v>
      </c>
      <c r="H26" s="11">
        <f t="shared" si="6"/>
        <v>18</v>
      </c>
      <c r="I26" s="58">
        <f t="shared" si="7"/>
        <v>0.9431195524709299</v>
      </c>
      <c r="J26" s="55">
        <f t="shared" si="8"/>
        <v>0.9115681689624932</v>
      </c>
      <c r="K26" s="44"/>
      <c r="L26" t="s">
        <v>278</v>
      </c>
      <c r="M26">
        <v>9</v>
      </c>
    </row>
    <row r="27" spans="1:13" ht="14.25">
      <c r="A27" s="30">
        <v>3</v>
      </c>
      <c r="B27" s="23">
        <f t="shared" si="9"/>
        <v>4.5</v>
      </c>
      <c r="C27" s="30">
        <v>0.05</v>
      </c>
      <c r="D27" s="30">
        <v>5</v>
      </c>
      <c r="E27" s="30">
        <v>7</v>
      </c>
      <c r="F27" s="45">
        <f>SQRT(1.5)</f>
        <v>1.224744871391589</v>
      </c>
      <c r="G27" s="132">
        <f t="shared" si="5"/>
        <v>3.0000000000000004</v>
      </c>
      <c r="H27" s="7">
        <f t="shared" si="6"/>
        <v>21.000000000000004</v>
      </c>
      <c r="I27" s="59">
        <f t="shared" si="7"/>
        <v>0.9715701365873733</v>
      </c>
      <c r="J27" s="56">
        <f t="shared" si="8"/>
        <v>0.9420097070709711</v>
      </c>
      <c r="L27" t="s">
        <v>281</v>
      </c>
      <c r="M27">
        <v>7</v>
      </c>
    </row>
    <row r="28" spans="1:13" ht="14.25">
      <c r="A28" s="30">
        <v>2</v>
      </c>
      <c r="B28" s="23">
        <f t="shared" si="9"/>
        <v>2</v>
      </c>
      <c r="C28" s="30">
        <v>0.05</v>
      </c>
      <c r="D28" s="30">
        <v>3</v>
      </c>
      <c r="E28" s="30">
        <v>8</v>
      </c>
      <c r="F28" s="45">
        <v>1</v>
      </c>
      <c r="G28" s="132">
        <f t="shared" si="5"/>
        <v>2</v>
      </c>
      <c r="H28" s="7">
        <f t="shared" si="6"/>
        <v>16</v>
      </c>
      <c r="I28" s="59">
        <f t="shared" si="7"/>
        <v>0.9566860762621342</v>
      </c>
      <c r="J28" s="56">
        <f t="shared" si="8"/>
        <v>0.9243716965770854</v>
      </c>
      <c r="L28" t="s">
        <v>279</v>
      </c>
      <c r="M28">
        <v>8</v>
      </c>
    </row>
    <row r="29" spans="1:13" ht="14.25">
      <c r="A29" s="40">
        <v>2</v>
      </c>
      <c r="B29" s="115">
        <f t="shared" si="9"/>
        <v>2</v>
      </c>
      <c r="C29" s="40">
        <v>0.05</v>
      </c>
      <c r="D29" s="40">
        <v>3</v>
      </c>
      <c r="E29" s="40">
        <v>6</v>
      </c>
      <c r="F29" s="71">
        <v>1</v>
      </c>
      <c r="G29" s="119">
        <f t="shared" si="5"/>
        <v>2</v>
      </c>
      <c r="H29" s="14">
        <f t="shared" si="6"/>
        <v>12</v>
      </c>
      <c r="I29" s="60">
        <f t="shared" si="7"/>
        <v>0.8831626298521741</v>
      </c>
      <c r="J29" s="57">
        <f t="shared" si="8"/>
        <v>0.8053175886861323</v>
      </c>
      <c r="L29" t="s">
        <v>280</v>
      </c>
      <c r="M29">
        <v>6</v>
      </c>
    </row>
    <row r="31" spans="1:6" ht="13.5">
      <c r="A31" t="s">
        <v>272</v>
      </c>
      <c r="B31">
        <v>7</v>
      </c>
      <c r="C31">
        <v>7.5</v>
      </c>
      <c r="D31">
        <v>7.5</v>
      </c>
      <c r="E31">
        <v>8</v>
      </c>
      <c r="F31">
        <v>9</v>
      </c>
    </row>
    <row r="34" spans="1:6" ht="13.5">
      <c r="A34" t="s">
        <v>355</v>
      </c>
      <c r="C34" t="s">
        <v>425</v>
      </c>
      <c r="E34" s="1"/>
      <c r="F34" s="1"/>
    </row>
    <row r="35" spans="1:7" ht="13.5">
      <c r="A35" s="39"/>
      <c r="B35" s="39"/>
      <c r="C35" s="39"/>
      <c r="D35" s="5"/>
      <c r="E35" s="161" t="s">
        <v>356</v>
      </c>
      <c r="F35" s="161"/>
      <c r="G35" s="161"/>
    </row>
    <row r="36" spans="1:7" ht="13.5">
      <c r="A36" s="19" t="s">
        <v>357</v>
      </c>
      <c r="B36" s="19" t="s">
        <v>358</v>
      </c>
      <c r="C36" s="19" t="s">
        <v>378</v>
      </c>
      <c r="D36" s="31" t="s">
        <v>379</v>
      </c>
      <c r="E36" s="19" t="s">
        <v>33</v>
      </c>
      <c r="F36" s="19" t="s">
        <v>105</v>
      </c>
      <c r="G36" s="19" t="s">
        <v>29</v>
      </c>
    </row>
    <row r="37" spans="1:9" ht="13.5">
      <c r="A37" s="39">
        <v>300</v>
      </c>
      <c r="B37" s="39">
        <v>0.05</v>
      </c>
      <c r="C37" s="39">
        <v>0.07</v>
      </c>
      <c r="D37" s="39">
        <v>0.05</v>
      </c>
      <c r="E37" s="12">
        <f>IF(BINOMDIST($A37,$A37,$C37,FALSE)&gt;$B37,0,1-BINOMDIST(Bin_U($A37,$C37,$B37),$A37,$D37,TRUE))</f>
        <v>0.00028179403232031497</v>
      </c>
      <c r="F37" s="55">
        <f>IF(BINOMDIST(0,$A37,$C37,FALSE)&gt;$B37,0,BINOMDIST(Bin_L($A37,$C37,$B37),$A37,$D37,TRUE))</f>
        <v>0.3582886121542754</v>
      </c>
      <c r="G37" s="12">
        <f>IF(BINOMDIST(0,$A37,$C37,FALSE)&gt;$B37/2,0,BINOMDIST(Bin_L($A37,$C37,$B37/2),$A37,$D37,TRUE))+IF(BINOMDIST($A37,$A37,$C37,FALSE)&gt;$B37/2,0,1-BINOMDIST(Bin_U($A37,$C37,$B37/2)-1,A37,D37,TRUE))</f>
        <v>0.2613494935675798</v>
      </c>
      <c r="I37" t="s">
        <v>359</v>
      </c>
    </row>
    <row r="38" spans="1:10" ht="13.5">
      <c r="A38" s="40">
        <v>300</v>
      </c>
      <c r="B38" s="40">
        <v>0.05</v>
      </c>
      <c r="C38" s="40">
        <v>0.07</v>
      </c>
      <c r="D38" s="40">
        <v>0.05</v>
      </c>
      <c r="E38" s="60">
        <f>NORMSDIST((($D38-$C38)-NORMSINV(1-$B38)*SQRT($C38*(1-$C38)/$A38))/SQRT($D38*(1-$D38)/$A38))</f>
        <v>0.0002198707820817436</v>
      </c>
      <c r="F38" s="57">
        <f>1-NORMSDIST((($D38-$C38)+NORMSINV(1-$B38)*SQRT($C38*(1-$C38)/$A38))/SQRT($D38*(1-$D38)/$A38))</f>
        <v>0.3683668664564236</v>
      </c>
      <c r="G38" s="60">
        <f>NORMSDIST((($D38-$C38)-NORMSINV(1-$B38/2)*SQRT($C38*(1-$C38)/$A38))/SQRT($D38*(1-$D38)/$A38))+1-NORMSDIST((($D38-$C38)+NORMSINV(1-$B38/2)*SQRT($C38*(1-$C38)/$A38))/SQRT($D38*(1-$D38)/$A38))</f>
        <v>0.24043236034333926</v>
      </c>
      <c r="J38">
        <v>0.368</v>
      </c>
    </row>
    <row r="39" spans="1:9" ht="13.5">
      <c r="A39" s="30">
        <v>500</v>
      </c>
      <c r="B39" s="30">
        <v>0.05</v>
      </c>
      <c r="C39" s="30">
        <v>0.07</v>
      </c>
      <c r="D39" s="30">
        <v>0.05</v>
      </c>
      <c r="E39" s="13">
        <f>IF(BINOMDIST($A39,$A39,$C39,FALSE)&gt;$B39,0,1-BINOMDIST(Bin_U($A39,$C39,$B39),$A39,$D39,TRUE))</f>
        <v>3.307675401198473E-05</v>
      </c>
      <c r="F39" s="56">
        <f>IF(BINOMDIST(0,$A39,$C39,FALSE)&gt;$B39,0,BINOMDIST(Bin_L($A39,$C39,$B39),$A39,$D39,TRUE))</f>
        <v>0.5529388564087431</v>
      </c>
      <c r="G39" s="13">
        <f>IF(BINOMDIST(0,$A39,$C39,FALSE)&gt;$B39/2,0,BINOMDIST(Bin_L($A39,$C39,$B39/2),$A39,$D39,TRUE))+IF(BINOMDIST($A39,$A39,$C39,FALSE)&gt;$B39/2,0,1-BINOMDIST(Bin_U($A39,$C39,$B39/2)-1,A39,D39,TRUE))</f>
        <v>0.3899501393240533</v>
      </c>
      <c r="I39" t="s">
        <v>360</v>
      </c>
    </row>
    <row r="40" spans="1:10" ht="13.5">
      <c r="A40" s="30">
        <v>500</v>
      </c>
      <c r="B40" s="30">
        <v>0.05</v>
      </c>
      <c r="C40" s="30">
        <v>0.07</v>
      </c>
      <c r="D40" s="30">
        <v>0.05</v>
      </c>
      <c r="E40" s="59">
        <f>NORMSDIST((($D40-$C40)-NORMSINV(1-$B40)*SQRT($C40*(1-$C40)/$A40))/SQRT($D40*(1-$D40)/$A40))</f>
        <v>3.4826162652268344E-05</v>
      </c>
      <c r="F40" s="56">
        <f>1-NORMSDIST((($D40-$C40)+NORMSINV(1-$B40)*SQRT($C40*(1-$C40)/$A40))/SQRT($D40*(1-$D40)/$A40))</f>
        <v>0.5502669991594067</v>
      </c>
      <c r="G40" s="59">
        <f>NORMSDIST((($D40-$C40)-NORMSINV(1-$B40/2)*SQRT($C40*(1-$C40)/$A40))/SQRT($D40*(1-$D40)/$A40))+1-NORMSDIST((($D40-$C40)+NORMSINV(1-$B40/2)*SQRT($C40*(1-$C40)/$A40))/SQRT($D40*(1-$D40)/$A40))</f>
        <v>0.40418028325763056</v>
      </c>
      <c r="J40" s="1">
        <v>0.55</v>
      </c>
    </row>
    <row r="41" spans="1:9" ht="14.25">
      <c r="A41" s="39">
        <v>402</v>
      </c>
      <c r="B41" s="39">
        <v>0.05</v>
      </c>
      <c r="C41" s="39">
        <v>0.1</v>
      </c>
      <c r="D41" s="39">
        <v>0.06</v>
      </c>
      <c r="E41" s="12">
        <f>IF(BINOMDIST($A41,$A41,$C41,FALSE)&gt;$B41,0,1-BINOMDIST(Bin_U($A41,$C41,$B41),$A41,$D41,TRUE))</f>
        <v>2.0273750411803348E-07</v>
      </c>
      <c r="F41" s="58">
        <f>IF(BINOMDIST(0,$A41,$C41,FALSE)&gt;$B41,0,BINOMDIST(Bin_L($A41,$C41,$B41),$A41,$D41,TRUE))</f>
        <v>0.9065046934666735</v>
      </c>
      <c r="G41" s="12">
        <f>IF(BINOMDIST(0,$A41,$C41,FALSE)&gt;$B41/2,0,BINOMDIST(Bin_L($A41,$C41,$B41/2),$A41,$D41,TRUE))+IF(BINOMDIST($A41,$A41,$C41,FALSE)&gt;$B41/2,0,1-BINOMDIST(Bin_U($A41,$C41,$B41/2)-1,A41,D41,TRUE))</f>
        <v>0.822663620945088</v>
      </c>
      <c r="I41" t="s">
        <v>361</v>
      </c>
    </row>
    <row r="42" spans="1:10" ht="14.25">
      <c r="A42" s="40">
        <v>399</v>
      </c>
      <c r="B42" s="40">
        <v>0.05</v>
      </c>
      <c r="C42" s="40">
        <v>0.1</v>
      </c>
      <c r="D42" s="40">
        <v>0.06</v>
      </c>
      <c r="E42" s="60">
        <f>NORMSDIST((($D42-$C42)-NORMSINV(1-$B42)*SQRT($C42*(1-$C42)/$A42))/SQRT($D42*(1-$D42)/$A42))</f>
        <v>2.6372436900956586E-08</v>
      </c>
      <c r="F42" s="60">
        <f>1-NORMSDIST((($D42-$C42)+NORMSINV(1-$B42)*SQRT($C42*(1-$C42)/$A42))/SQRT($D42*(1-$D42)/$A42))</f>
        <v>0.9008778522739129</v>
      </c>
      <c r="G42" s="60">
        <f>NORMSDIST((($D42-$C42)-NORMSINV(1-$B42/2)*SQRT($C42*(1-$C42)/$A42))/SQRT($D42*(1-$D42)/$A42))+1-NORMSDIST((($D42-$C42)+NORMSINV(1-$B42/2)*SQRT($C42*(1-$C42)/$A42))/SQRT($D42*(1-$D42)/$A42))</f>
        <v>0.8128686299443141</v>
      </c>
      <c r="J42">
        <v>400</v>
      </c>
    </row>
    <row r="43" spans="1:9" ht="14.25">
      <c r="A43" s="39">
        <v>504</v>
      </c>
      <c r="B43" s="39">
        <v>0.05</v>
      </c>
      <c r="C43" s="39">
        <v>0.1</v>
      </c>
      <c r="D43" s="39">
        <v>0.06</v>
      </c>
      <c r="E43" s="12">
        <f>IF(BINOMDIST($A43,$A43,$C43,FALSE)&gt;$B43,0,1-BINOMDIST(Bin_U($A43,$C43,$B43),$A43,$D43,TRUE))</f>
        <v>1.805469596050102E-08</v>
      </c>
      <c r="F43" s="58">
        <f>IF(BINOMDIST(0,$A43,$C43,FALSE)&gt;$B43,0,BINOMDIST(Bin_L($A43,$C43,$B43),$A43,$D43,TRUE))</f>
        <v>0.954414483351169</v>
      </c>
      <c r="G43" s="12">
        <f>IF(BINOMDIST(0,$A43,$C43,FALSE)&gt;$B43/2,0,BINOMDIST(Bin_L($A43,$C43,$B43/2),$A43,$D43,TRUE))+IF(BINOMDIST($A43,$A43,$C43,FALSE)&gt;$B43/2,0,1-BINOMDIST(Bin_U($A43,$C43,$B43/2)-1,A43,D43,TRUE))</f>
        <v>0.9101596639619569</v>
      </c>
      <c r="I43" t="s">
        <v>362</v>
      </c>
    </row>
    <row r="44" spans="1:10" ht="14.25">
      <c r="A44" s="40">
        <v>488</v>
      </c>
      <c r="B44" s="40">
        <v>0.05</v>
      </c>
      <c r="C44" s="40">
        <v>0.1</v>
      </c>
      <c r="D44" s="40">
        <v>0.06</v>
      </c>
      <c r="E44" s="60">
        <f>NORMSDIST((($D44-$C44)-NORMSINV(1-$B44)*SQRT($C44*(1-$C44)/$A44))/SQRT($D44*(1-$D44)/$A44))</f>
        <v>3.3544628186277237E-09</v>
      </c>
      <c r="F44" s="60">
        <f>1-NORMSDIST((($D44-$C44)+NORMSINV(1-$B44)*SQRT($C44*(1-$C44)/$A44))/SQRT($D44*(1-$D44)/$A44))</f>
        <v>0.9498007507119747</v>
      </c>
      <c r="G44" s="60">
        <f>NORMSDIST((($D44-$C44)-NORMSINV(1-$B44/2)*SQRT($C44*(1-$C44)/$A44))/SQRT($D44*(1-$D44)/$A44))+1-NORMSDIST((($D44-$C44)+NORMSINV(1-$B44/2)*SQRT($C44*(1-$C44)/$A44))/SQRT($D44*(1-$D44)/$A44))</f>
        <v>0.8934104065631848</v>
      </c>
      <c r="J44">
        <v>492</v>
      </c>
    </row>
    <row r="45" spans="1:7" ht="13.5">
      <c r="A45" s="30"/>
      <c r="B45" s="30"/>
      <c r="C45" s="30"/>
      <c r="D45" s="30"/>
      <c r="E45" s="13"/>
      <c r="F45" s="59"/>
      <c r="G45" s="13"/>
    </row>
    <row r="46" spans="1:3" ht="13.5">
      <c r="A46" t="s">
        <v>363</v>
      </c>
      <c r="C46" t="s">
        <v>426</v>
      </c>
    </row>
    <row r="47" spans="1:6" ht="13.5">
      <c r="A47" s="39"/>
      <c r="B47" s="39"/>
      <c r="C47" s="5"/>
      <c r="D47" s="39"/>
      <c r="E47" s="161" t="s">
        <v>64</v>
      </c>
      <c r="F47" s="161"/>
    </row>
    <row r="48" spans="1:6" ht="13.5">
      <c r="A48" s="4" t="s">
        <v>5</v>
      </c>
      <c r="B48" s="4" t="s">
        <v>67</v>
      </c>
      <c r="C48" s="6" t="s">
        <v>312</v>
      </c>
      <c r="D48" s="4" t="s">
        <v>68</v>
      </c>
      <c r="E48" s="4" t="s">
        <v>58</v>
      </c>
      <c r="F48" s="4" t="s">
        <v>29</v>
      </c>
    </row>
    <row r="49" spans="1:10" ht="13.5">
      <c r="A49" s="39">
        <v>10</v>
      </c>
      <c r="B49" s="39">
        <v>0.05</v>
      </c>
      <c r="C49" s="5">
        <v>25</v>
      </c>
      <c r="D49" s="39">
        <v>0.5</v>
      </c>
      <c r="E49" s="55">
        <f>NTDIST(TINV($B49*2,$A49-2),$A49-2,SQRT($C49)*$D49)</f>
        <v>0.737709130180132</v>
      </c>
      <c r="F49" s="12">
        <f>[0]!NTDIST(TINV($B49,$A49-2),$A49-2,SQRT($C49)*$D49)</f>
        <v>0.5930647114159793</v>
      </c>
      <c r="I49" t="s">
        <v>364</v>
      </c>
      <c r="J49">
        <v>0.737</v>
      </c>
    </row>
    <row r="50" spans="1:10" ht="13.5">
      <c r="A50" s="40">
        <v>10</v>
      </c>
      <c r="B50" s="40">
        <v>0.05</v>
      </c>
      <c r="C50" s="16">
        <v>36</v>
      </c>
      <c r="D50" s="40">
        <v>0.5</v>
      </c>
      <c r="E50" s="57">
        <f>NTDIST(TINV($B50*2,$A50-2),$A50-2,SQRT($C50)*$D50)</f>
        <v>0.8618135793677967</v>
      </c>
      <c r="F50" s="15">
        <f>[0]!NTDIST(TINV($B50,$A50-2),$A50-2,SQRT($C50)*$D50)</f>
        <v>0.7480150245970006</v>
      </c>
      <c r="I50" t="s">
        <v>365</v>
      </c>
      <c r="J50">
        <v>0.861</v>
      </c>
    </row>
    <row r="51" spans="1:10" ht="13.5">
      <c r="A51" s="39">
        <v>10</v>
      </c>
      <c r="B51" s="39">
        <v>0.05</v>
      </c>
      <c r="C51" s="141">
        <v>10.312625154770034</v>
      </c>
      <c r="D51" s="114">
        <v>1</v>
      </c>
      <c r="E51" s="12">
        <f>NTDIST(TINV($B51*2,$A51-2),$A51-2,SQRT($C51)*$D51)</f>
        <v>0.8995935003664572</v>
      </c>
      <c r="F51" s="12">
        <f>[0]!NTDIST(TINV($B51,$A51-2),$A51-2,SQRT($C51)*$D51)</f>
        <v>0.8025011659588244</v>
      </c>
      <c r="I51" t="s">
        <v>318</v>
      </c>
      <c r="J51">
        <v>10.32</v>
      </c>
    </row>
    <row r="52" spans="1:10" ht="13.5">
      <c r="A52" s="40">
        <v>20</v>
      </c>
      <c r="B52" s="40">
        <v>0.05</v>
      </c>
      <c r="C52" s="142">
        <v>9.261920042736579</v>
      </c>
      <c r="D52" s="115">
        <v>1</v>
      </c>
      <c r="E52" s="15">
        <f>NTDIST(TINV($B52*2,$A52-2),$A52-2,SQRT($C52)*$D52)</f>
        <v>0.8999177464851232</v>
      </c>
      <c r="F52" s="15">
        <f>[0]!NTDIST(TINV($B52,$A52-2),$A52-2,SQRT($C52)*$D52)</f>
        <v>0.8206053677866115</v>
      </c>
      <c r="I52" t="s">
        <v>319</v>
      </c>
      <c r="J52">
        <v>9.27</v>
      </c>
    </row>
    <row r="54" spans="1:3" ht="13.5">
      <c r="A54" t="s">
        <v>320</v>
      </c>
      <c r="C54" t="s">
        <v>388</v>
      </c>
    </row>
    <row r="55" spans="1:4" ht="14.25">
      <c r="A55" s="3" t="s">
        <v>5</v>
      </c>
      <c r="B55" s="3" t="s">
        <v>67</v>
      </c>
      <c r="C55" s="3" t="s">
        <v>321</v>
      </c>
      <c r="D55" s="3" t="s">
        <v>322</v>
      </c>
    </row>
    <row r="56" spans="1:10" ht="14.25">
      <c r="A56">
        <v>4</v>
      </c>
      <c r="B56">
        <v>0.05</v>
      </c>
      <c r="C56">
        <v>1</v>
      </c>
      <c r="D56" s="2">
        <f>2*NORMSINV(1-B56/2)*C56/SQRT(A56)</f>
        <v>1.9599610823206604</v>
      </c>
      <c r="I56" t="s">
        <v>366</v>
      </c>
      <c r="J56">
        <v>4</v>
      </c>
    </row>
    <row r="58" spans="1:3" ht="13.5">
      <c r="A58" t="s">
        <v>324</v>
      </c>
      <c r="C58" t="s">
        <v>389</v>
      </c>
    </row>
    <row r="59" spans="1:4" ht="14.25">
      <c r="A59" s="3" t="s">
        <v>5</v>
      </c>
      <c r="B59" s="3" t="s">
        <v>67</v>
      </c>
      <c r="D59" s="3" t="s">
        <v>325</v>
      </c>
    </row>
    <row r="60" spans="1:10" ht="14.25">
      <c r="A60">
        <v>18</v>
      </c>
      <c r="B60">
        <v>0.05</v>
      </c>
      <c r="D60" s="2">
        <f>CHIINV(B60/2,A60-1)/CHIINV(1-B60/2,A60-1)</f>
        <v>3.991310130590429</v>
      </c>
      <c r="I60" t="s">
        <v>367</v>
      </c>
      <c r="J60">
        <v>18</v>
      </c>
    </row>
    <row r="62" spans="1:3" ht="13.5">
      <c r="A62" t="s">
        <v>327</v>
      </c>
      <c r="C62" t="s">
        <v>390</v>
      </c>
    </row>
    <row r="63" spans="1:4" ht="14.25">
      <c r="A63" s="3" t="s">
        <v>5</v>
      </c>
      <c r="B63" s="3" t="s">
        <v>67</v>
      </c>
      <c r="C63" s="3" t="s">
        <v>321</v>
      </c>
      <c r="D63" s="3" t="s">
        <v>322</v>
      </c>
    </row>
    <row r="64" spans="1:10" ht="14.25">
      <c r="A64">
        <v>6</v>
      </c>
      <c r="B64">
        <v>0.05</v>
      </c>
      <c r="C64">
        <v>1</v>
      </c>
      <c r="D64" s="112">
        <f>2*TINV(B64,A64-1)*C64/SQRT(A64)*SQRT(2/(A64-1))*EXP(GAMMALN((A64)/2)-GAMMALN((A64-1)/2))</f>
        <v>1.9971417322699667</v>
      </c>
      <c r="I64" t="s">
        <v>368</v>
      </c>
      <c r="J64" s="134">
        <v>6</v>
      </c>
    </row>
    <row r="66" spans="1:3" ht="13.5">
      <c r="A66" t="s">
        <v>329</v>
      </c>
      <c r="C66" t="s">
        <v>391</v>
      </c>
    </row>
    <row r="67" spans="1:4" ht="14.25">
      <c r="A67" s="3" t="s">
        <v>5</v>
      </c>
      <c r="B67" s="3" t="s">
        <v>67</v>
      </c>
      <c r="C67" s="3"/>
      <c r="D67" s="3" t="s">
        <v>325</v>
      </c>
    </row>
    <row r="68" spans="1:10" ht="14.25">
      <c r="A68">
        <v>10</v>
      </c>
      <c r="B68">
        <v>0.05</v>
      </c>
      <c r="D68" s="2">
        <f>FINV(B68/2,A68-1,A68)/FINV(1-B68/2,A68-1,A68)</f>
        <v>14.979298690325306</v>
      </c>
      <c r="I68" t="s">
        <v>369</v>
      </c>
      <c r="J68" s="133">
        <v>11</v>
      </c>
    </row>
    <row r="70" spans="1:3" ht="13.5">
      <c r="A70" t="s">
        <v>370</v>
      </c>
      <c r="C70" t="s">
        <v>392</v>
      </c>
    </row>
    <row r="71" spans="1:4" ht="14.25">
      <c r="A71" s="3" t="s">
        <v>5</v>
      </c>
      <c r="B71" s="3" t="s">
        <v>67</v>
      </c>
      <c r="C71" s="3" t="s">
        <v>321</v>
      </c>
      <c r="D71" s="3" t="s">
        <v>322</v>
      </c>
    </row>
    <row r="72" spans="1:10" ht="14.25">
      <c r="A72">
        <v>16</v>
      </c>
      <c r="B72">
        <v>0.05</v>
      </c>
      <c r="C72">
        <v>2</v>
      </c>
      <c r="D72" s="2">
        <f>2*TINV(B72,2*(A72-1))*C72/SQRT(A72/2)*SQRT(2/(2*(A72-1)))*EXP(GAMMALN((2*(A72-1)+1)/2)-GAMMALN((2*(A72-1))/2))</f>
        <v>2.8642424652870218</v>
      </c>
      <c r="I72" t="s">
        <v>371</v>
      </c>
      <c r="J72">
        <v>15</v>
      </c>
    </row>
    <row r="74" spans="1:3" ht="13.5">
      <c r="A74" t="s">
        <v>372</v>
      </c>
      <c r="C74" t="s">
        <v>393</v>
      </c>
    </row>
    <row r="75" spans="1:4" ht="14.25">
      <c r="A75" s="3" t="s">
        <v>5</v>
      </c>
      <c r="B75" s="3" t="s">
        <v>67</v>
      </c>
      <c r="C75" s="3" t="s">
        <v>321</v>
      </c>
      <c r="D75" s="3" t="s">
        <v>322</v>
      </c>
    </row>
    <row r="76" spans="1:10" ht="14.25">
      <c r="A76">
        <v>18</v>
      </c>
      <c r="B76">
        <v>0.05</v>
      </c>
      <c r="C76">
        <v>3</v>
      </c>
      <c r="D76" s="2">
        <f>2*TINV(B76,A76-1)*C76/SQRT(A76)*SQRT(2/(A76-1))*EXP(GAMMALN((A76)/2)-GAMMALN((A76-1)/2))</f>
        <v>2.940201423318782</v>
      </c>
      <c r="I76" t="s">
        <v>373</v>
      </c>
      <c r="J76">
        <v>18</v>
      </c>
    </row>
  </sheetData>
  <mergeCells count="4">
    <mergeCell ref="E35:G35"/>
    <mergeCell ref="E47:F47"/>
    <mergeCell ref="I3:J3"/>
    <mergeCell ref="I19:J19"/>
  </mergeCells>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2"/>
  <dimension ref="A1:AD95"/>
  <sheetViews>
    <sheetView zoomScale="75" zoomScaleNormal="75" workbookViewId="0" topLeftCell="A1">
      <selection activeCell="A1" sqref="A1:B1"/>
    </sheetView>
  </sheetViews>
  <sheetFormatPr defaultColWidth="8.796875" defaultRowHeight="14.25"/>
  <cols>
    <col min="1" max="3" width="6" style="0" customWidth="1"/>
    <col min="4" max="6" width="8.59765625" style="0" customWidth="1"/>
    <col min="7" max="7" width="11.3984375" style="44" customWidth="1"/>
    <col min="8" max="9" width="13.5" style="44" customWidth="1"/>
    <col min="10" max="15" width="10.19921875" style="44" customWidth="1"/>
    <col min="16" max="16" width="10.69921875" style="0" customWidth="1"/>
    <col min="17" max="20" width="9.09765625" style="0" bestFit="1" customWidth="1"/>
    <col min="22" max="22" width="50.19921875" style="0" customWidth="1"/>
    <col min="25" max="27" width="7.5" style="0" bestFit="1" customWidth="1"/>
  </cols>
  <sheetData>
    <row r="1" spans="1:22" ht="13.5">
      <c r="A1" t="s">
        <v>214</v>
      </c>
      <c r="B1" t="s">
        <v>419</v>
      </c>
      <c r="C1" s="40"/>
      <c r="J1"/>
      <c r="K1"/>
      <c r="L1"/>
      <c r="M1"/>
      <c r="N1"/>
      <c r="O1"/>
      <c r="Q1" t="s">
        <v>8</v>
      </c>
      <c r="V1" t="s">
        <v>10</v>
      </c>
    </row>
    <row r="2" spans="1:25" ht="13.5">
      <c r="A2" s="42"/>
      <c r="B2" s="42"/>
      <c r="C2" s="21"/>
      <c r="D2" s="159" t="s">
        <v>30</v>
      </c>
      <c r="E2" s="159"/>
      <c r="F2" s="159"/>
      <c r="J2"/>
      <c r="K2"/>
      <c r="L2"/>
      <c r="M2"/>
      <c r="N2"/>
      <c r="O2"/>
      <c r="Q2" s="3" t="s">
        <v>4</v>
      </c>
      <c r="R2">
        <v>0.05</v>
      </c>
      <c r="X2" s="3" t="s">
        <v>4</v>
      </c>
      <c r="Y2">
        <v>0.05</v>
      </c>
    </row>
    <row r="3" spans="1:27" ht="13.5">
      <c r="A3" s="4" t="s">
        <v>2</v>
      </c>
      <c r="B3" s="4" t="s">
        <v>0</v>
      </c>
      <c r="C3" s="6" t="s">
        <v>184</v>
      </c>
      <c r="D3" s="26" t="s">
        <v>33</v>
      </c>
      <c r="E3" s="26" t="s">
        <v>34</v>
      </c>
      <c r="F3" s="26" t="s">
        <v>29</v>
      </c>
      <c r="J3" s="3" t="s">
        <v>2</v>
      </c>
      <c r="K3">
        <v>10</v>
      </c>
      <c r="L3"/>
      <c r="M3"/>
      <c r="N3" s="3" t="s">
        <v>105</v>
      </c>
      <c r="O3" s="3" t="s">
        <v>33</v>
      </c>
      <c r="Q3" s="21" t="s">
        <v>3</v>
      </c>
      <c r="R3" s="159" t="s">
        <v>5</v>
      </c>
      <c r="S3" s="159"/>
      <c r="T3" s="159"/>
      <c r="U3" s="32"/>
      <c r="V3" s="32"/>
      <c r="X3" s="21" t="s">
        <v>3</v>
      </c>
      <c r="Y3" s="159" t="s">
        <v>5</v>
      </c>
      <c r="Z3" s="159"/>
      <c r="AA3" s="159"/>
    </row>
    <row r="4" spans="1:28" ht="13.5">
      <c r="A4" s="42">
        <v>10</v>
      </c>
      <c r="B4" s="42">
        <v>0.05</v>
      </c>
      <c r="C4" s="21">
        <v>2</v>
      </c>
      <c r="D4" s="61">
        <f>CHIDIST(CHIINV($B4,$A4-1)/$C4^2,$A4-1)</f>
        <v>0.8956512601264882</v>
      </c>
      <c r="E4" s="49">
        <f>1-CHIDIST(CHIINV(1-$B4,$A4-1)/$C4^2,$A4-1)</f>
        <v>0.00026215459223022375</v>
      </c>
      <c r="F4" s="49">
        <f>1-CHIDIST(CHIINV(1-$B4/2,$A4-1)/$C4^2,$A4-1)+CHIDIST(CHIINV($B4/2,$A4-1)/$C4^2,$A4-1)</f>
        <v>0.8551732710591976</v>
      </c>
      <c r="H4" s="44" t="s">
        <v>85</v>
      </c>
      <c r="J4" s="19" t="s">
        <v>53</v>
      </c>
      <c r="K4" s="18">
        <v>1.5</v>
      </c>
      <c r="L4"/>
      <c r="M4" s="3" t="s">
        <v>61</v>
      </c>
      <c r="N4" s="1">
        <f>CHIINV(1-$K$5,$L$21)</f>
        <v>3.3251151402069468</v>
      </c>
      <c r="O4" s="1">
        <f>CHIINV($K$5,$L$21)</f>
        <v>16.918960157985552</v>
      </c>
      <c r="Q4" s="16"/>
      <c r="R4" s="4">
        <v>10</v>
      </c>
      <c r="S4" s="4">
        <v>20</v>
      </c>
      <c r="T4" s="4">
        <v>30</v>
      </c>
      <c r="U4" s="19"/>
      <c r="V4" s="19"/>
      <c r="X4" s="16"/>
      <c r="Y4" s="4">
        <v>10</v>
      </c>
      <c r="Z4" s="4">
        <v>20</v>
      </c>
      <c r="AA4" s="4">
        <v>30</v>
      </c>
      <c r="AB4" s="18"/>
    </row>
    <row r="5" spans="1:28" ht="13.5">
      <c r="A5" s="19">
        <v>10</v>
      </c>
      <c r="B5" s="19">
        <v>0.05</v>
      </c>
      <c r="C5" s="31">
        <v>0.5</v>
      </c>
      <c r="D5" s="69">
        <f>CHIDIST(CHIINV($B5,$A5-1)/$C5^2,$A5-1)</f>
        <v>4.340348875923318E-11</v>
      </c>
      <c r="E5" s="68">
        <f>1-CHIDIST(CHIINV(1-$B5,$A5-1)/$C5^2,$A5-1)</f>
        <v>0.8505246534508053</v>
      </c>
      <c r="F5" s="69">
        <f>1-CHIDIST(CHIINV(1-$B5/2,$A5-1)/$C5^2,$A5-1)+CHIDIST(CHIINV($B5/2,$A5-1)/$C5^2,$A5-1)</f>
        <v>0.7104429533454366</v>
      </c>
      <c r="H5" s="44" t="s">
        <v>86</v>
      </c>
      <c r="J5" s="51" t="s">
        <v>0</v>
      </c>
      <c r="K5">
        <v>0.05</v>
      </c>
      <c r="L5"/>
      <c r="M5" s="3" t="s">
        <v>57</v>
      </c>
      <c r="N5" s="1">
        <f>1-CHIDIST(N4*L20,L21)</f>
        <v>0.4128817122137627</v>
      </c>
      <c r="O5" s="1">
        <f>CHIDIST(O4/L20,L21)</f>
        <v>0.583192434652685</v>
      </c>
      <c r="Q5" s="24">
        <f>1/3</f>
        <v>0.3333333333333333</v>
      </c>
      <c r="R5" s="12">
        <f aca="true" t="shared" si="0" ref="R5:R19">CHIDIST(CHIINV($Y$2/2,Y$4-1)/$Q5^2,Y$4-1)+1-CHIDIST(CHIINV(1-$Y$2/2,Y$4-1)/$Q5^2,Y$4-1)</f>
        <v>0.9961535849000893</v>
      </c>
      <c r="S5" s="12">
        <f aca="true" t="shared" si="1" ref="S5:S19">CHIDIST(CHIINV($Y$2/2,Z$4-1)/$Q5^2,Z$4-1)+1-CHIDIST(CHIINV(1-$Y$2/2,Z$4-1)/$Q5^2,Z$4-1)</f>
        <v>0.9999999982538694</v>
      </c>
      <c r="T5" s="12">
        <f aca="true" t="shared" si="2" ref="T5:T19">CHIDIST(CHIINV($Y$2/2,AA$4-1)/$Q5^2,AA$4-1)+1-CHIDIST(CHIINV(1-$Y$2/2,AA$4-1)/$Q5^2,AA$4-1)</f>
        <v>1</v>
      </c>
      <c r="U5" s="13"/>
      <c r="V5" s="13"/>
      <c r="X5" s="7">
        <v>0.2</v>
      </c>
      <c r="Y5" s="13">
        <f>CHIDIST(CHIINV($Y$2/2,Y$4-1)/$X5^2,Y$4-1)+1-CHIDIST(CHIINV(1-$Y$2/2,Y$4-1)/$X5^2,Y$4-1)</f>
        <v>0.999999999953229</v>
      </c>
      <c r="Z5" s="13">
        <f aca="true" t="shared" si="3" ref="Z5:AA19">CHIDIST(CHIINV($Y$2/2,Z$4-1)/$X5^2,Z$4-1)+1-CHIDIST(CHIINV(1-$Y$2/2,Z$4-1)/$X5^2,Z$4-1)</f>
        <v>1</v>
      </c>
      <c r="AA5" s="13">
        <f t="shared" si="3"/>
        <v>1</v>
      </c>
      <c r="AB5" s="17"/>
    </row>
    <row r="6" spans="1:28" ht="13.5">
      <c r="A6" s="4">
        <v>10</v>
      </c>
      <c r="B6" s="4">
        <v>0.05</v>
      </c>
      <c r="C6" s="6">
        <v>2</v>
      </c>
      <c r="D6" s="50">
        <f>CHIDIST(CHIINV($B6,$A6-1)/$C6^2,$A6-1)</f>
        <v>0.8956512601264882</v>
      </c>
      <c r="E6" s="50">
        <f>1-CHIDIST(CHIINV(1-$B6,$A6-1)/$C6^2,$A6-1)</f>
        <v>0.00026215459223022375</v>
      </c>
      <c r="F6" s="62">
        <f>1-CHIDIST(CHIINV(1-$B6/2,$A6-1)/$C6^2,$A6-1)+CHIDIST(CHIINV($B6/2,$A6-1)/$C6^2,$A6-1)</f>
        <v>0.8551732710591976</v>
      </c>
      <c r="H6" s="44" t="s">
        <v>84</v>
      </c>
      <c r="J6" s="17"/>
      <c r="K6"/>
      <c r="L6"/>
      <c r="M6"/>
      <c r="N6"/>
      <c r="O6"/>
      <c r="Q6" s="22">
        <f>2/5</f>
        <v>0.4</v>
      </c>
      <c r="R6" s="13">
        <f t="shared" si="0"/>
        <v>0.9493296255268283</v>
      </c>
      <c r="S6" s="13">
        <f t="shared" si="1"/>
        <v>0.9999816294246323</v>
      </c>
      <c r="T6" s="13">
        <f t="shared" si="2"/>
        <v>0.999999999122165</v>
      </c>
      <c r="U6" s="13"/>
      <c r="V6" s="13"/>
      <c r="X6" s="7">
        <v>0.4</v>
      </c>
      <c r="Y6" s="13">
        <f>CHIDIST(CHIINV($Y$2/2,Y$4-1)/$X6^2,Y$4-1)+1-CHIDIST(CHIINV(1-$Y$2/2,Y$4-1)/$X6^2,Y$4-1)</f>
        <v>0.9493296255268283</v>
      </c>
      <c r="Z6" s="13">
        <f t="shared" si="3"/>
        <v>0.9999816294246323</v>
      </c>
      <c r="AA6" s="13">
        <f t="shared" si="3"/>
        <v>0.999999999122165</v>
      </c>
      <c r="AB6" s="17"/>
    </row>
    <row r="7" spans="10:28" ht="13.5">
      <c r="J7" s="17"/>
      <c r="K7"/>
      <c r="L7"/>
      <c r="M7"/>
      <c r="N7"/>
      <c r="O7"/>
      <c r="Q7" s="22">
        <f>1/2</f>
        <v>0.5</v>
      </c>
      <c r="R7" s="13">
        <f t="shared" si="0"/>
        <v>0.7104429533454365</v>
      </c>
      <c r="S7" s="13">
        <f t="shared" si="1"/>
        <v>0.988271709063603</v>
      </c>
      <c r="T7" s="13">
        <f t="shared" si="2"/>
        <v>0.9998189911864236</v>
      </c>
      <c r="U7" s="13"/>
      <c r="V7" s="13"/>
      <c r="X7" s="7">
        <v>0.6</v>
      </c>
      <c r="Y7" s="13">
        <f aca="true" t="shared" si="4" ref="Y7:Y19">CHIDIST(CHIINV($Y$2/2,Y$4-1)/$X7^2,Y$4-1)+1-CHIDIST(CHIINV(1-$Y$2/2,Y$4-1)/$X7^2,Y$4-1)</f>
        <v>0.414902725894559</v>
      </c>
      <c r="Z7" s="13">
        <f t="shared" si="3"/>
        <v>0.8307312909341303</v>
      </c>
      <c r="AA7" s="13">
        <f t="shared" si="3"/>
        <v>0.9676580149065431</v>
      </c>
      <c r="AB7" s="17"/>
    </row>
    <row r="8" spans="1:28" ht="13.5">
      <c r="A8" t="s">
        <v>90</v>
      </c>
      <c r="B8" s="35" t="s">
        <v>96</v>
      </c>
      <c r="D8" s="1"/>
      <c r="E8" s="1"/>
      <c r="F8" s="1"/>
      <c r="J8" s="17"/>
      <c r="K8"/>
      <c r="L8"/>
      <c r="M8"/>
      <c r="N8"/>
      <c r="O8"/>
      <c r="Q8" s="22">
        <f>2/3</f>
        <v>0.6666666666666666</v>
      </c>
      <c r="R8" s="13">
        <f t="shared" si="0"/>
        <v>0.2677012657996023</v>
      </c>
      <c r="S8" s="13">
        <f t="shared" si="1"/>
        <v>0.6078046400225573</v>
      </c>
      <c r="T8" s="13">
        <f t="shared" si="2"/>
        <v>0.8294994356775715</v>
      </c>
      <c r="U8" s="13"/>
      <c r="V8" s="13"/>
      <c r="X8" s="7">
        <v>0.8</v>
      </c>
      <c r="Y8" s="13">
        <f t="shared" si="4"/>
        <v>0.10409821906374339</v>
      </c>
      <c r="Z8" s="13">
        <f t="shared" si="3"/>
        <v>0.21154214873987498</v>
      </c>
      <c r="AA8" s="13">
        <f t="shared" si="3"/>
        <v>0.3255922207667479</v>
      </c>
      <c r="AB8" s="17"/>
    </row>
    <row r="9" spans="1:28" ht="13.5">
      <c r="A9" t="s">
        <v>73</v>
      </c>
      <c r="B9" s="35" t="s">
        <v>95</v>
      </c>
      <c r="D9" s="1"/>
      <c r="E9" s="1"/>
      <c r="F9" s="1"/>
      <c r="J9" s="17"/>
      <c r="K9"/>
      <c r="L9"/>
      <c r="M9"/>
      <c r="N9"/>
      <c r="O9"/>
      <c r="Q9" s="22">
        <f>3/4</f>
        <v>0.75</v>
      </c>
      <c r="R9" s="13">
        <f t="shared" si="0"/>
        <v>0.14877125636340172</v>
      </c>
      <c r="S9" s="13">
        <f t="shared" si="1"/>
        <v>0.3316704378934441</v>
      </c>
      <c r="T9" s="13">
        <f t="shared" si="2"/>
        <v>0.5101695439064433</v>
      </c>
      <c r="U9" s="13"/>
      <c r="V9" s="13"/>
      <c r="X9" s="27">
        <v>1</v>
      </c>
      <c r="Y9" s="10">
        <f t="shared" si="4"/>
        <v>0.0499998915714831</v>
      </c>
      <c r="Z9" s="10">
        <f t="shared" si="3"/>
        <v>0.04999989865273757</v>
      </c>
      <c r="AA9" s="10">
        <f t="shared" si="3"/>
        <v>0.049999792567098855</v>
      </c>
      <c r="AB9" s="17"/>
    </row>
    <row r="10" spans="1:28" ht="13.5">
      <c r="A10" t="s">
        <v>74</v>
      </c>
      <c r="B10" s="35" t="s">
        <v>192</v>
      </c>
      <c r="J10" s="17"/>
      <c r="K10"/>
      <c r="L10"/>
      <c r="M10"/>
      <c r="N10"/>
      <c r="O10"/>
      <c r="Q10" s="22">
        <f>4/5</f>
        <v>0.8</v>
      </c>
      <c r="R10" s="13">
        <f t="shared" si="0"/>
        <v>0.10409821906374339</v>
      </c>
      <c r="S10" s="13">
        <f t="shared" si="1"/>
        <v>0.21154214873987498</v>
      </c>
      <c r="T10" s="13">
        <f t="shared" si="2"/>
        <v>0.3255922207667479</v>
      </c>
      <c r="U10" s="13"/>
      <c r="V10" s="13"/>
      <c r="X10" s="7">
        <v>1.2</v>
      </c>
      <c r="Y10" s="13">
        <f t="shared" si="4"/>
        <v>0.1600307789913865</v>
      </c>
      <c r="Z10" s="13">
        <f t="shared" si="3"/>
        <v>0.24817734941007474</v>
      </c>
      <c r="AA10" s="13">
        <f t="shared" si="3"/>
        <v>0.3320270957405007</v>
      </c>
      <c r="AB10" s="17"/>
    </row>
    <row r="11" spans="2:28" ht="13.5">
      <c r="B11" s="35" t="s">
        <v>191</v>
      </c>
      <c r="J11" s="17"/>
      <c r="K11"/>
      <c r="L11"/>
      <c r="M11"/>
      <c r="N11"/>
      <c r="O11"/>
      <c r="Q11" s="22">
        <f>9/10</f>
        <v>0.9</v>
      </c>
      <c r="R11" s="13">
        <f t="shared" si="0"/>
        <v>0.055615706785351327</v>
      </c>
      <c r="S11" s="13">
        <f t="shared" si="1"/>
        <v>0.07877906665035761</v>
      </c>
      <c r="T11" s="13">
        <f t="shared" si="2"/>
        <v>0.10297288593316523</v>
      </c>
      <c r="U11" s="13"/>
      <c r="V11" s="13"/>
      <c r="X11" s="7">
        <v>1.4</v>
      </c>
      <c r="Y11" s="13">
        <f t="shared" si="4"/>
        <v>0.3768924520339152</v>
      </c>
      <c r="Z11" s="13">
        <f t="shared" si="3"/>
        <v>0.6063095880079241</v>
      </c>
      <c r="AA11" s="13">
        <f t="shared" si="3"/>
        <v>0.7613878465453875</v>
      </c>
      <c r="AB11" s="17"/>
    </row>
    <row r="12" spans="2:28" ht="13.5">
      <c r="B12" s="35"/>
      <c r="J12" s="17"/>
      <c r="K12"/>
      <c r="L12"/>
      <c r="M12"/>
      <c r="N12"/>
      <c r="O12"/>
      <c r="Q12" s="28">
        <v>1</v>
      </c>
      <c r="R12" s="10">
        <f t="shared" si="0"/>
        <v>0.0499998915714831</v>
      </c>
      <c r="S12" s="10">
        <f t="shared" si="1"/>
        <v>0.04999989865273757</v>
      </c>
      <c r="T12" s="10">
        <f t="shared" si="2"/>
        <v>0.049999792567098855</v>
      </c>
      <c r="U12" s="13"/>
      <c r="V12" s="13"/>
      <c r="X12" s="7">
        <v>1.6</v>
      </c>
      <c r="Y12" s="13">
        <f t="shared" si="4"/>
        <v>0.5930630544361575</v>
      </c>
      <c r="Z12" s="13">
        <f t="shared" si="3"/>
        <v>0.847047746509757</v>
      </c>
      <c r="AA12" s="13">
        <f t="shared" si="3"/>
        <v>0.9470726601664452</v>
      </c>
      <c r="AB12" s="17"/>
    </row>
    <row r="13" spans="1:28" ht="13.5">
      <c r="A13" s="42"/>
      <c r="B13" s="42"/>
      <c r="C13" s="21"/>
      <c r="D13" s="159" t="s">
        <v>30</v>
      </c>
      <c r="E13" s="159"/>
      <c r="F13" s="159"/>
      <c r="J13" s="17"/>
      <c r="K13"/>
      <c r="L13"/>
      <c r="M13"/>
      <c r="N13"/>
      <c r="O13"/>
      <c r="Q13" s="22">
        <f>100/99</f>
        <v>1.0101010101010102</v>
      </c>
      <c r="R13" s="13">
        <f t="shared" si="0"/>
        <v>0.0517178325048856</v>
      </c>
      <c r="S13" s="13">
        <f t="shared" si="1"/>
        <v>0.05197201961349096</v>
      </c>
      <c r="T13" s="13">
        <f t="shared" si="2"/>
        <v>0.052212294705124895</v>
      </c>
      <c r="U13" s="13"/>
      <c r="V13" s="13"/>
      <c r="X13" s="7">
        <v>1.8</v>
      </c>
      <c r="Y13" s="13">
        <f t="shared" si="4"/>
        <v>0.7529990543787284</v>
      </c>
      <c r="Z13" s="13">
        <f t="shared" si="3"/>
        <v>0.9494226439704561</v>
      </c>
      <c r="AA13" s="13">
        <f t="shared" si="3"/>
        <v>0.9907967348972551</v>
      </c>
      <c r="AB13" s="17"/>
    </row>
    <row r="14" spans="1:28" ht="13.5">
      <c r="A14" s="4" t="s">
        <v>2</v>
      </c>
      <c r="B14" s="4" t="s">
        <v>0</v>
      </c>
      <c r="C14" s="6" t="s">
        <v>184</v>
      </c>
      <c r="D14" s="26" t="s">
        <v>33</v>
      </c>
      <c r="E14" s="26" t="s">
        <v>34</v>
      </c>
      <c r="F14" s="26" t="s">
        <v>29</v>
      </c>
      <c r="J14" s="17"/>
      <c r="K14"/>
      <c r="L14"/>
      <c r="M14"/>
      <c r="N14"/>
      <c r="O14"/>
      <c r="Q14" s="22">
        <f>5/4</f>
        <v>1.25</v>
      </c>
      <c r="R14" s="13">
        <f t="shared" si="0"/>
        <v>0.2085724513767815</v>
      </c>
      <c r="S14" s="13">
        <f t="shared" si="1"/>
        <v>0.33684580612756565</v>
      </c>
      <c r="T14" s="13">
        <f t="shared" si="2"/>
        <v>0.4519921599037643</v>
      </c>
      <c r="U14" s="13"/>
      <c r="V14" s="13"/>
      <c r="X14" s="7">
        <v>2</v>
      </c>
      <c r="Y14" s="13">
        <f t="shared" si="4"/>
        <v>0.8551732710591976</v>
      </c>
      <c r="Z14" s="13">
        <f t="shared" si="3"/>
        <v>0.9843962427264775</v>
      </c>
      <c r="AA14" s="13">
        <f t="shared" si="3"/>
        <v>0.9985473094995047</v>
      </c>
      <c r="AB14" s="17"/>
    </row>
    <row r="15" spans="1:28" ht="14.25">
      <c r="A15" s="42">
        <v>9</v>
      </c>
      <c r="B15" s="42">
        <v>0.05</v>
      </c>
      <c r="C15" s="21">
        <v>2.5</v>
      </c>
      <c r="D15" s="61">
        <f>CHIDIST(CHIINV($B15,$A15-1)/$C15^2,$A15-1)</f>
        <v>0.9626032340218869</v>
      </c>
      <c r="E15" s="122">
        <f>1-CHIDIST(CHIINV(1-$B15,$A15-1)/$C15^2,$A15-1)</f>
        <v>7.994675206435264E-05</v>
      </c>
      <c r="F15" s="122">
        <f>1-CHIDIST(CHIINV(1-$B15/2,$A15-1)/$C15^2,$A15-1)+CHIDIST(CHIINV($B15/2,$A15-1)/$C15^2,$A15-1)</f>
        <v>0.9459961147869894</v>
      </c>
      <c r="H15" s="44" t="s">
        <v>88</v>
      </c>
      <c r="J15" s="17"/>
      <c r="K15"/>
      <c r="L15"/>
      <c r="M15"/>
      <c r="N15"/>
      <c r="O15"/>
      <c r="Q15" s="22">
        <f>4/3</f>
        <v>1.3333333333333333</v>
      </c>
      <c r="R15" s="13">
        <f t="shared" si="0"/>
        <v>0.29980799588547</v>
      </c>
      <c r="S15" s="13">
        <f t="shared" si="1"/>
        <v>0.4912334147735058</v>
      </c>
      <c r="T15" s="13">
        <f t="shared" si="2"/>
        <v>0.6406177933284463</v>
      </c>
      <c r="U15" s="13"/>
      <c r="V15" s="13"/>
      <c r="X15" s="7">
        <v>2.2</v>
      </c>
      <c r="Y15" s="13">
        <f t="shared" si="4"/>
        <v>0.9159867951070412</v>
      </c>
      <c r="Z15" s="13">
        <f t="shared" si="3"/>
        <v>0.9952625898481857</v>
      </c>
      <c r="AA15" s="13">
        <f t="shared" si="3"/>
        <v>0.999774151080905</v>
      </c>
      <c r="AB15" s="17"/>
    </row>
    <row r="16" spans="1:28" ht="14.25">
      <c r="A16" s="19">
        <v>6</v>
      </c>
      <c r="B16" s="19">
        <v>0.05</v>
      </c>
      <c r="C16" s="125">
        <f>1/3</f>
        <v>0.3333333333333333</v>
      </c>
      <c r="D16" s="123">
        <f>CHIDIST(CHIINV($B16,$A16-1)/$C16^2,$A16-1)</f>
        <v>6.311309536877809E-20</v>
      </c>
      <c r="E16" s="68">
        <f>1-CHIDIST(CHIINV(1-$B16,$A16-1)/$C16^2,$A16-1)</f>
        <v>0.9330689134525806</v>
      </c>
      <c r="F16" s="123">
        <f>1-CHIDIST(CHIINV(1-$B16/2,$A16-1)/$C16^2,$A16-1)+CHIDIST(CHIINV($B16/2,$A16-1)/$C16^2,$A16-1)</f>
        <v>0.8127384313293834</v>
      </c>
      <c r="H16" s="44" t="s">
        <v>89</v>
      </c>
      <c r="J16" s="17"/>
      <c r="K16"/>
      <c r="L16"/>
      <c r="M16"/>
      <c r="N16"/>
      <c r="O16"/>
      <c r="Q16" s="22">
        <f>3/2</f>
        <v>1.5</v>
      </c>
      <c r="R16" s="13">
        <f t="shared" si="0"/>
        <v>0.49024283064284935</v>
      </c>
      <c r="S16" s="13">
        <f t="shared" si="1"/>
        <v>0.7476930764288957</v>
      </c>
      <c r="T16" s="13">
        <f t="shared" si="2"/>
        <v>0.8826796917694975</v>
      </c>
      <c r="U16" s="13"/>
      <c r="V16" s="13"/>
      <c r="X16" s="7">
        <v>2.4</v>
      </c>
      <c r="Y16" s="13">
        <f t="shared" si="4"/>
        <v>0.9511054589162138</v>
      </c>
      <c r="Z16" s="13">
        <f t="shared" si="3"/>
        <v>0.9985420754535189</v>
      </c>
      <c r="AA16" s="13">
        <f t="shared" si="3"/>
        <v>0.9999638700228829</v>
      </c>
      <c r="AB16" s="17"/>
    </row>
    <row r="17" spans="1:28" ht="14.25">
      <c r="A17" s="19">
        <v>12</v>
      </c>
      <c r="B17" s="19">
        <v>0.05</v>
      </c>
      <c r="C17" s="31">
        <v>2</v>
      </c>
      <c r="D17" s="123">
        <f>CHIDIST(CHIINV($B17,$A17-1)/$C17^2,$A17-1)</f>
        <v>0.9350356700579026</v>
      </c>
      <c r="E17" s="123">
        <f>1-CHIDIST(CHIINV(1-$B17,$A17-1)/$C17^2,$A17-1)</f>
        <v>9.930354395148999E-05</v>
      </c>
      <c r="F17" s="68">
        <f>1-CHIDIST(CHIINV(1-$B17/2,$A17-1)/$C17^2,$A17-1)+CHIDIST(CHIINV($B17/2,$A17-1)/$C17^2,$A17-1)</f>
        <v>0.9057544786234106</v>
      </c>
      <c r="H17" s="44" t="s">
        <v>87</v>
      </c>
      <c r="J17" s="17"/>
      <c r="K17"/>
      <c r="L17"/>
      <c r="M17"/>
      <c r="N17"/>
      <c r="O17"/>
      <c r="Q17" s="22">
        <v>2</v>
      </c>
      <c r="R17" s="13">
        <f t="shared" si="0"/>
        <v>0.8551732710591976</v>
      </c>
      <c r="S17" s="13">
        <f t="shared" si="1"/>
        <v>0.9843962427264775</v>
      </c>
      <c r="T17" s="13">
        <f t="shared" si="2"/>
        <v>0.9985473094995047</v>
      </c>
      <c r="U17" s="13"/>
      <c r="V17" s="13"/>
      <c r="X17" s="7">
        <v>2.6</v>
      </c>
      <c r="Y17" s="13">
        <f t="shared" si="4"/>
        <v>0.9712256373518365</v>
      </c>
      <c r="Z17" s="13">
        <f t="shared" si="3"/>
        <v>0.9995379588629506</v>
      </c>
      <c r="AA17" s="13">
        <f t="shared" si="3"/>
        <v>0.9999939168372531</v>
      </c>
      <c r="AB17" s="17"/>
    </row>
    <row r="18" spans="1:28" ht="14.25">
      <c r="A18" s="4">
        <v>14</v>
      </c>
      <c r="B18" s="4">
        <v>0.05</v>
      </c>
      <c r="C18" s="6">
        <v>0.5</v>
      </c>
      <c r="D18" s="124">
        <f>CHIDIST(CHIINV($B18,$A18-1)/$C18^2,$A18-1)</f>
        <v>1.7818401936537563E-13</v>
      </c>
      <c r="E18" s="124">
        <f>1-CHIDIST(CHIINV(1-$B18,$A18-1)/$C18^2,$A18-1)</f>
        <v>0.9646499582229224</v>
      </c>
      <c r="F18" s="62">
        <f>1-CHIDIST(CHIINV(1-$B18/2,$A18-1)/$C18^2,$A18-1)+CHIDIST(CHIINV($B18/2,$A18-1)/$C18^2,$A18-1)</f>
        <v>0.9056578026946158</v>
      </c>
      <c r="J18" s="17"/>
      <c r="K18"/>
      <c r="L18"/>
      <c r="M18"/>
      <c r="N18"/>
      <c r="O18"/>
      <c r="Q18" s="22">
        <f>5/2</f>
        <v>2.5</v>
      </c>
      <c r="R18" s="13">
        <f t="shared" si="0"/>
        <v>0.9625556433373816</v>
      </c>
      <c r="S18" s="13">
        <f t="shared" si="1"/>
        <v>0.9991827797002147</v>
      </c>
      <c r="T18" s="13">
        <f t="shared" si="2"/>
        <v>0.9999852822374705</v>
      </c>
      <c r="U18" s="13"/>
      <c r="V18" s="13"/>
      <c r="X18" s="7">
        <v>2.8</v>
      </c>
      <c r="Y18" s="13">
        <f t="shared" si="4"/>
        <v>0.982804429657132</v>
      </c>
      <c r="Z18" s="13">
        <f t="shared" si="3"/>
        <v>0.9998480052076418</v>
      </c>
      <c r="AA18" s="13">
        <f t="shared" si="3"/>
        <v>0.9999989103410947</v>
      </c>
      <c r="AB18" s="17"/>
    </row>
    <row r="19" spans="10:27" ht="14.25">
      <c r="J19" s="17"/>
      <c r="K19"/>
      <c r="L19"/>
      <c r="M19"/>
      <c r="N19"/>
      <c r="O19"/>
      <c r="Q19" s="25">
        <v>3</v>
      </c>
      <c r="R19" s="15">
        <f t="shared" si="0"/>
        <v>0.9895435830802868</v>
      </c>
      <c r="S19" s="15">
        <f t="shared" si="1"/>
        <v>0.9999479197684074</v>
      </c>
      <c r="T19" s="15">
        <f t="shared" si="2"/>
        <v>0.9999997914689783</v>
      </c>
      <c r="U19" s="13"/>
      <c r="V19" s="13"/>
      <c r="X19" s="14">
        <v>3</v>
      </c>
      <c r="Y19" s="15">
        <f t="shared" si="4"/>
        <v>0.9895435830802868</v>
      </c>
      <c r="Z19" s="15">
        <f t="shared" si="3"/>
        <v>0.9999479197684074</v>
      </c>
      <c r="AA19" s="15">
        <f t="shared" si="3"/>
        <v>0.9999997914689783</v>
      </c>
    </row>
    <row r="20" spans="1:27" ht="13.5">
      <c r="A20" s="26" t="s">
        <v>0</v>
      </c>
      <c r="B20" s="26" t="s">
        <v>1</v>
      </c>
      <c r="C20" s="41" t="s">
        <v>184</v>
      </c>
      <c r="D20" s="26" t="s">
        <v>2</v>
      </c>
      <c r="E20" s="26" t="s">
        <v>14</v>
      </c>
      <c r="F20" s="26" t="s">
        <v>64</v>
      </c>
      <c r="J20" s="17"/>
      <c r="K20" s="19" t="s">
        <v>62</v>
      </c>
      <c r="L20">
        <f>K4^2</f>
        <v>2.25</v>
      </c>
      <c r="M20"/>
      <c r="N20"/>
      <c r="O20"/>
      <c r="X20" s="23"/>
      <c r="Y20" s="13"/>
      <c r="Z20" s="13"/>
      <c r="AA20" s="13"/>
    </row>
    <row r="21" spans="1:22" ht="13.5">
      <c r="A21" t="s">
        <v>16</v>
      </c>
      <c r="H21" s="44" t="s">
        <v>31</v>
      </c>
      <c r="J21" s="17"/>
      <c r="K21" t="s">
        <v>42</v>
      </c>
      <c r="L21">
        <f>K3-1</f>
        <v>9</v>
      </c>
      <c r="M21"/>
      <c r="N21"/>
      <c r="O21"/>
      <c r="Q21" t="s">
        <v>9</v>
      </c>
      <c r="V21" t="s">
        <v>11</v>
      </c>
    </row>
    <row r="22" spans="1:25" ht="13.5">
      <c r="A22" s="39">
        <v>0.05</v>
      </c>
      <c r="B22" s="39">
        <v>0.05</v>
      </c>
      <c r="C22" s="11">
        <v>2.5</v>
      </c>
      <c r="D22" s="43">
        <f>0.5*((NORMSINV(1-A22)+C22*NORMSINV(1-B22))/(C22-1))^2+1.5</f>
        <v>8.865084903597136</v>
      </c>
      <c r="E22" s="52">
        <f>ROUNDDOWN(D22,0)</f>
        <v>8</v>
      </c>
      <c r="F22" s="12">
        <f>CHIDIST(CHIINV(A22,E22-1)/C22^2,E22-1)+1-CHIDIST(CHIINV(1-A22,E22-1)/C22^2,E22-1)</f>
        <v>0.9448329313706612</v>
      </c>
      <c r="H22" s="44" t="s">
        <v>88</v>
      </c>
      <c r="J22" s="17"/>
      <c r="K22" s="17" t="s">
        <v>59</v>
      </c>
      <c r="L22">
        <f>CHIINV(0.002,L21)/25</f>
        <v>1.0422468185424805</v>
      </c>
      <c r="M22"/>
      <c r="N22"/>
      <c r="O22"/>
      <c r="Q22" s="3" t="s">
        <v>4</v>
      </c>
      <c r="R22">
        <v>0.05</v>
      </c>
      <c r="X22" s="3" t="s">
        <v>4</v>
      </c>
      <c r="Y22">
        <v>0.05</v>
      </c>
    </row>
    <row r="23" spans="1:27" ht="13.5">
      <c r="A23" s="40"/>
      <c r="B23" s="40"/>
      <c r="C23" s="16"/>
      <c r="D23" s="40"/>
      <c r="E23" s="64">
        <f>ROUNDUP(D22,0)</f>
        <v>9</v>
      </c>
      <c r="F23" s="15">
        <f>CHIDIST(CHIINV(A22,E23-1)/C22^2,E23-1)+1-CHIDIST(CHIINV(1-A22,E23-1)/C22^2,E23-1)</f>
        <v>0.9626831807739512</v>
      </c>
      <c r="J23" s="17"/>
      <c r="K23" s="17" t="s">
        <v>60</v>
      </c>
      <c r="L23">
        <v>0.01</v>
      </c>
      <c r="M23"/>
      <c r="N23"/>
      <c r="O23"/>
      <c r="Q23" s="21" t="s">
        <v>3</v>
      </c>
      <c r="R23" s="159" t="s">
        <v>5</v>
      </c>
      <c r="S23" s="159"/>
      <c r="T23" s="159"/>
      <c r="U23" s="32"/>
      <c r="V23" s="32"/>
      <c r="X23" s="21" t="s">
        <v>3</v>
      </c>
      <c r="Y23" s="161" t="s">
        <v>5</v>
      </c>
      <c r="Z23" s="161"/>
      <c r="AA23" s="161"/>
    </row>
    <row r="24" spans="1:28" ht="13.5">
      <c r="A24" t="s">
        <v>17</v>
      </c>
      <c r="H24" s="44" t="s">
        <v>32</v>
      </c>
      <c r="J24" s="17"/>
      <c r="K24" s="17"/>
      <c r="L24"/>
      <c r="M24"/>
      <c r="N24"/>
      <c r="O24"/>
      <c r="Q24" s="16"/>
      <c r="R24" s="4">
        <v>10</v>
      </c>
      <c r="S24" s="4">
        <v>20</v>
      </c>
      <c r="T24" s="4">
        <v>30</v>
      </c>
      <c r="U24" s="19"/>
      <c r="V24" s="19"/>
      <c r="X24" s="9"/>
      <c r="Y24" s="26">
        <v>10</v>
      </c>
      <c r="Z24" s="26">
        <v>20</v>
      </c>
      <c r="AA24" s="26">
        <v>30</v>
      </c>
      <c r="AB24" s="18"/>
    </row>
    <row r="25" spans="1:28" ht="13.5">
      <c r="A25" s="39">
        <v>0.05</v>
      </c>
      <c r="B25" s="39">
        <v>0.2</v>
      </c>
      <c r="C25" s="126">
        <f>1/3</f>
        <v>0.3333333333333333</v>
      </c>
      <c r="D25" s="43">
        <f>0.5*((NORMSINV(1-A25)+C25*NORMSINV(1-B25))/(C25-1))^2+1.5</f>
        <v>5.670532483370635</v>
      </c>
      <c r="E25" s="127">
        <f>ROUNDDOWN(D25,0)</f>
        <v>5</v>
      </c>
      <c r="F25" s="12">
        <f>CHIDIST(CHIINV(A25,E25-1)/C25^2,E25-1)+1-CHIDIST(CHIINV(1-A25,E25-1)/C25^2,E25-1)</f>
        <v>0.8285714394404187</v>
      </c>
      <c r="H25" s="44" t="s">
        <v>89</v>
      </c>
      <c r="J25" s="29">
        <v>0</v>
      </c>
      <c r="K25" s="2">
        <v>0</v>
      </c>
      <c r="L25">
        <v>0</v>
      </c>
      <c r="M25">
        <v>0</v>
      </c>
      <c r="N25">
        <v>0</v>
      </c>
      <c r="O25"/>
      <c r="Q25" s="24">
        <f>1/3</f>
        <v>0.3333333333333333</v>
      </c>
      <c r="R25" s="12">
        <f>CHIDIST(CHIINV($Y$2,Y$4-1)/$Q25^2,Y$4-1)</f>
        <v>2.9848051782324204E-28</v>
      </c>
      <c r="S25" s="12">
        <f>CHIDIST(CHIINV($Y$2,Z$4-1)/$Q25^2,Z$4-1)</f>
        <v>1.4672679100066097E-46</v>
      </c>
      <c r="T25" s="12">
        <f>CHIDIST(CHIINV($Y$2,AA$4-1)/$Q25^2,AA$4-1)</f>
        <v>2.029803690961406E-63</v>
      </c>
      <c r="U25" s="13"/>
      <c r="V25" s="13"/>
      <c r="X25" s="7">
        <v>0.2</v>
      </c>
      <c r="Y25" s="13">
        <f aca="true" t="shared" si="5" ref="Y25:AA39">CHIDIST(CHIINV($Y$2,Y$4-1)/$X25^2,Y$4-1)</f>
        <v>1.707746349031121E-85</v>
      </c>
      <c r="Z25" s="13">
        <f t="shared" si="5"/>
        <v>1.551234149166277E-147</v>
      </c>
      <c r="AA25" s="13">
        <f t="shared" si="5"/>
        <v>2.6240226702449362E-205</v>
      </c>
      <c r="AB25" s="17"/>
    </row>
    <row r="26" spans="1:28" ht="13.5">
      <c r="A26" s="40"/>
      <c r="B26" s="40"/>
      <c r="C26" s="16"/>
      <c r="D26" s="40"/>
      <c r="E26" s="64">
        <f>ROUNDUP(D25,0)</f>
        <v>6</v>
      </c>
      <c r="F26" s="15">
        <f>CHIDIST(CHIINV(A25,E26-1)/C25^2,E26-1)+1-CHIDIST(CHIINV(1-A25,E26-1)/C25^2,E26-1)</f>
        <v>0.9330689134525806</v>
      </c>
      <c r="J26" s="29">
        <v>1</v>
      </c>
      <c r="K26" s="2">
        <f aca="true" t="shared" si="6" ref="K26:K50">K25+$L$22</f>
        <v>1.0422468185424805</v>
      </c>
      <c r="L26" s="17">
        <f aca="true" t="shared" si="7" ref="L26:L50">(CHIDIST($K26-$L$23,$L$21)-CHIDIST($K26+$L$23,$L$21))/(2*$L$23)</f>
        <v>0.0026081500294650173</v>
      </c>
      <c r="M26" s="17">
        <f aca="true" t="shared" si="8" ref="M26:M50">(CHIDIST($K26*$L$20-$L$23,$L$21)-CHIDIST($K26*$L$20+$L$23,$L$21))/(2*$L$23/$L$20)</f>
        <v>0.05226600857324709</v>
      </c>
      <c r="N26" s="17">
        <f aca="true" t="shared" si="9" ref="N26:N50">(CHIDIST($K26/$L$20-$L$23,$L$21)-CHIDIST($K26/$L$20+$L$23,$L$21))/(2*$L$23*$L$20)</f>
        <v>9.066748136227826E-05</v>
      </c>
      <c r="O26"/>
      <c r="Q26" s="22">
        <f>2/5</f>
        <v>0.4</v>
      </c>
      <c r="R26" s="13">
        <f aca="true" t="shared" si="10" ref="R26:R39">CHIDIST(CHIINV($Y$2,Y$4-1)/$Q26^2,Y$4-1)</f>
        <v>1.0786400205450875E-18</v>
      </c>
      <c r="S26" s="13">
        <f aca="true" t="shared" si="11" ref="S26:S39">CHIDIST(CHIINV($Y$2,Z$4-1)/$Q26^2,Z$4-1)</f>
        <v>6.815086992032574E-30</v>
      </c>
      <c r="T26" s="13">
        <f aca="true" t="shared" si="12" ref="T26:T39">CHIDIST(CHIINV($Y$2,AA$4-1)/$Q26^2,AA$4-1)</f>
        <v>3.9552141774238265E-40</v>
      </c>
      <c r="U26" s="13"/>
      <c r="V26" s="13"/>
      <c r="X26" s="7">
        <v>0.4</v>
      </c>
      <c r="Y26" s="13">
        <f t="shared" si="5"/>
        <v>1.0786400205450875E-18</v>
      </c>
      <c r="Z26" s="13">
        <f t="shared" si="5"/>
        <v>6.815086992032574E-30</v>
      </c>
      <c r="AA26" s="13">
        <f t="shared" si="5"/>
        <v>3.9552141774238265E-40</v>
      </c>
      <c r="AB26" s="17"/>
    </row>
    <row r="27" spans="1:28" ht="13.5">
      <c r="A27" t="s">
        <v>15</v>
      </c>
      <c r="H27" s="44" t="s">
        <v>63</v>
      </c>
      <c r="J27" s="29">
        <v>2</v>
      </c>
      <c r="K27" s="2">
        <f t="shared" si="6"/>
        <v>2.084493637084961</v>
      </c>
      <c r="L27" s="17">
        <f t="shared" si="7"/>
        <v>0.01752205183638278</v>
      </c>
      <c r="M27" s="17">
        <f t="shared" si="8"/>
        <v>0.1830622399967688</v>
      </c>
      <c r="N27" s="17">
        <f t="shared" si="9"/>
        <v>0.0008133462209119418</v>
      </c>
      <c r="O27"/>
      <c r="Q27" s="22">
        <f>1/2</f>
        <v>0.5</v>
      </c>
      <c r="R27" s="13">
        <f t="shared" si="10"/>
        <v>4.340348875923318E-11</v>
      </c>
      <c r="S27" s="13">
        <f t="shared" si="11"/>
        <v>8.662818212554199E-17</v>
      </c>
      <c r="T27" s="13">
        <f t="shared" si="12"/>
        <v>6.323262263063164E-22</v>
      </c>
      <c r="U27" s="13"/>
      <c r="V27" s="13"/>
      <c r="X27" s="7">
        <v>0.6</v>
      </c>
      <c r="Y27" s="13">
        <f t="shared" si="5"/>
        <v>3.929522610956017E-07</v>
      </c>
      <c r="Z27" s="13">
        <f t="shared" si="5"/>
        <v>4.19293913311939E-10</v>
      </c>
      <c r="AA27" s="13">
        <f t="shared" si="5"/>
        <v>9.858263435292641E-13</v>
      </c>
      <c r="AB27" s="17"/>
    </row>
    <row r="28" spans="1:28" ht="13.5">
      <c r="A28" s="39">
        <v>0.05</v>
      </c>
      <c r="B28" s="39">
        <v>0.1</v>
      </c>
      <c r="C28" s="11">
        <v>2</v>
      </c>
      <c r="D28" s="43">
        <f>0.5*((NORMSINV(1-A28/2)+C28*NORMSINV(1-B28))/(C28-1))^2+1.5</f>
        <v>11.72904796320917</v>
      </c>
      <c r="E28" s="52">
        <f>ROUNDDOWN(D28,0)</f>
        <v>11</v>
      </c>
      <c r="F28" s="12">
        <f>CHIDIST(CHIINV(A28/2,E28-1)/C28^2,E28-1)+1-CHIDIST(CHIINV(1-A28/2,E28-1)/C28^2,E28-1)</f>
        <v>0.8830291921078425</v>
      </c>
      <c r="H28" s="44" t="s">
        <v>87</v>
      </c>
      <c r="J28" s="29">
        <v>3</v>
      </c>
      <c r="K28" s="2">
        <f t="shared" si="6"/>
        <v>3.1267404556274414</v>
      </c>
      <c r="L28" s="17">
        <f t="shared" si="7"/>
        <v>0.04301097475378768</v>
      </c>
      <c r="M28" s="17">
        <f t="shared" si="8"/>
        <v>0.23425882453089186</v>
      </c>
      <c r="N28" s="17">
        <f t="shared" si="9"/>
        <v>0.00266671044471472</v>
      </c>
      <c r="O28"/>
      <c r="Q28" s="22">
        <f>2/3</f>
        <v>0.6666666666666666</v>
      </c>
      <c r="R28" s="13">
        <f t="shared" si="10"/>
        <v>1.6950825134448248E-05</v>
      </c>
      <c r="S28" s="13">
        <f t="shared" si="11"/>
        <v>2.1082438174106803E-07</v>
      </c>
      <c r="T28" s="13">
        <f t="shared" si="12"/>
        <v>4.623187390862846E-09</v>
      </c>
      <c r="U28" s="13"/>
      <c r="V28" s="13"/>
      <c r="X28" s="7">
        <v>0.8</v>
      </c>
      <c r="Y28" s="13">
        <f t="shared" si="5"/>
        <v>0.0017329129288722875</v>
      </c>
      <c r="Z28" s="13">
        <f t="shared" si="5"/>
        <v>0.0003456812061387256</v>
      </c>
      <c r="AA28" s="13">
        <f t="shared" si="5"/>
        <v>9.003874191428158E-05</v>
      </c>
      <c r="AB28" s="17"/>
    </row>
    <row r="29" spans="1:28" ht="13.5">
      <c r="A29" s="30"/>
      <c r="B29" s="30"/>
      <c r="C29" s="8"/>
      <c r="D29" s="30"/>
      <c r="E29" s="63">
        <f>ROUNDUP(D28,0)</f>
        <v>12</v>
      </c>
      <c r="F29" s="13">
        <f>CHIDIST(CHIINV(A28/2,E29-1)/C28^2,E29-1)+1-CHIDIST(CHIINV(1-A28/2,E29-1)/C28^2,E29-1)</f>
        <v>0.9057544786234106</v>
      </c>
      <c r="J29" s="29">
        <v>4</v>
      </c>
      <c r="K29" s="2">
        <f t="shared" si="6"/>
        <v>4.168987274169922</v>
      </c>
      <c r="L29" s="17">
        <f t="shared" si="7"/>
        <v>0.06991059588232207</v>
      </c>
      <c r="M29" s="17">
        <f t="shared" si="8"/>
        <v>0.19849965299642558</v>
      </c>
      <c r="N29" s="17">
        <f t="shared" si="9"/>
        <v>0.0057898126542937295</v>
      </c>
      <c r="O29"/>
      <c r="Q29" s="22">
        <f>3/4</f>
        <v>0.75</v>
      </c>
      <c r="R29" s="13">
        <f t="shared" si="10"/>
        <v>0.0004254882971063849</v>
      </c>
      <c r="S29" s="13">
        <f t="shared" si="11"/>
        <v>3.813737333930857E-05</v>
      </c>
      <c r="T29" s="13">
        <f t="shared" si="12"/>
        <v>4.912888683684365E-06</v>
      </c>
      <c r="U29" s="13"/>
      <c r="V29" s="13"/>
      <c r="X29" s="27">
        <v>1</v>
      </c>
      <c r="Y29" s="10">
        <f t="shared" si="5"/>
        <v>0.05000027997513697</v>
      </c>
      <c r="Z29" s="10">
        <f t="shared" si="5"/>
        <v>0.050000273287331</v>
      </c>
      <c r="AA29" s="10">
        <f t="shared" si="5"/>
        <v>0.05000021295242579</v>
      </c>
      <c r="AB29" s="17"/>
    </row>
    <row r="30" spans="1:28" ht="13.5">
      <c r="A30" s="30">
        <v>0.05</v>
      </c>
      <c r="B30" s="30">
        <v>0.1</v>
      </c>
      <c r="C30" s="7">
        <v>0.5</v>
      </c>
      <c r="D30" s="37">
        <f>0.5*((NORMSINV(1-A30/2)+C30*NORMSINV(1-B30))/(C30-1))^2+1.5</f>
        <v>15.027660471684827</v>
      </c>
      <c r="E30" s="53">
        <f>ROUNDDOWN(D30,0)</f>
        <v>15</v>
      </c>
      <c r="F30" s="13">
        <f>CHIDIST(CHIINV(A30/2,E30-1)/C30^2,E30-1)+1-CHIDIST(CHIINV(1-A30/2,E30-1)/C30^2,E30-1)</f>
        <v>0.931364508190262</v>
      </c>
      <c r="J30" s="29">
        <v>5</v>
      </c>
      <c r="K30" s="2">
        <f t="shared" si="6"/>
        <v>5.211234092712402</v>
      </c>
      <c r="L30" s="17">
        <f t="shared" si="7"/>
        <v>0.09065815684068945</v>
      </c>
      <c r="M30" s="17">
        <f t="shared" si="8"/>
        <v>0.1341908097766232</v>
      </c>
      <c r="N30" s="17">
        <f t="shared" si="9"/>
        <v>0.010029020950609436</v>
      </c>
      <c r="O30"/>
      <c r="Q30" s="22">
        <f>4/5</f>
        <v>0.8</v>
      </c>
      <c r="R30" s="13">
        <f t="shared" si="10"/>
        <v>0.0017329129288722875</v>
      </c>
      <c r="S30" s="13">
        <f t="shared" si="11"/>
        <v>0.0003456812061387256</v>
      </c>
      <c r="T30" s="13">
        <f t="shared" si="12"/>
        <v>9.003874191428158E-05</v>
      </c>
      <c r="U30" s="13"/>
      <c r="V30" s="13"/>
      <c r="X30" s="7">
        <v>1.2</v>
      </c>
      <c r="Y30" s="13">
        <f t="shared" si="5"/>
        <v>0.22781570019542613</v>
      </c>
      <c r="Z30" s="13">
        <f t="shared" si="5"/>
        <v>0.3405153673228078</v>
      </c>
      <c r="AA30" s="13">
        <f t="shared" si="5"/>
        <v>0.4365377010711506</v>
      </c>
      <c r="AB30" s="17"/>
    </row>
    <row r="31" spans="1:28" ht="13.5">
      <c r="A31" s="40"/>
      <c r="B31" s="40"/>
      <c r="C31" s="16"/>
      <c r="D31" s="40"/>
      <c r="E31" s="64">
        <v>14</v>
      </c>
      <c r="F31" s="15">
        <f>CHIDIST(CHIINV(A30/2,E31-1)/C30^2,E31-1)+1-CHIDIST(CHIINV(1-A30/2,E31-1)/C30^2,E31-1)</f>
        <v>0.9056578026946158</v>
      </c>
      <c r="J31" s="29">
        <v>6</v>
      </c>
      <c r="K31" s="2">
        <f t="shared" si="6"/>
        <v>6.253480911254883</v>
      </c>
      <c r="L31" s="17">
        <f t="shared" si="7"/>
        <v>0.10191081089519494</v>
      </c>
      <c r="M31" s="17">
        <f t="shared" si="8"/>
        <v>0.07863846814553152</v>
      </c>
      <c r="N31" s="17">
        <f t="shared" si="9"/>
        <v>0.015059272774502969</v>
      </c>
      <c r="O31"/>
      <c r="Q31" s="22">
        <f>9/10</f>
        <v>0.9</v>
      </c>
      <c r="R31" s="13">
        <f t="shared" si="10"/>
        <v>0.013158927475071866</v>
      </c>
      <c r="S31" s="13">
        <f t="shared" si="11"/>
        <v>0.007459458685272748</v>
      </c>
      <c r="T31" s="13">
        <f t="shared" si="12"/>
        <v>0.004743316699190098</v>
      </c>
      <c r="U31" s="13"/>
      <c r="V31" s="13"/>
      <c r="X31" s="7">
        <v>1.4</v>
      </c>
      <c r="Y31" s="13">
        <f t="shared" si="5"/>
        <v>0.4719014025142467</v>
      </c>
      <c r="Z31" s="13">
        <f t="shared" si="5"/>
        <v>0.698201883765073</v>
      </c>
      <c r="AA31" s="13">
        <f t="shared" si="5"/>
        <v>0.8318876998727991</v>
      </c>
      <c r="AB31" s="17"/>
    </row>
    <row r="32" spans="10:28" ht="13.5">
      <c r="J32" s="29">
        <v>7</v>
      </c>
      <c r="K32" s="2">
        <f t="shared" si="6"/>
        <v>7.295727729797363</v>
      </c>
      <c r="L32" s="17">
        <f t="shared" si="7"/>
        <v>0.10380495215375207</v>
      </c>
      <c r="M32" s="17">
        <f t="shared" si="8"/>
        <v>0.04175674979335345</v>
      </c>
      <c r="N32" s="17">
        <f t="shared" si="9"/>
        <v>0.02048942394470041</v>
      </c>
      <c r="O32"/>
      <c r="Q32" s="28">
        <v>1</v>
      </c>
      <c r="R32" s="10">
        <f t="shared" si="10"/>
        <v>0.05000027997513697</v>
      </c>
      <c r="S32" s="10">
        <f t="shared" si="11"/>
        <v>0.050000273287331</v>
      </c>
      <c r="T32" s="10">
        <f t="shared" si="12"/>
        <v>0.05000021295242579</v>
      </c>
      <c r="U32" s="13"/>
      <c r="V32" s="13"/>
      <c r="X32" s="7">
        <v>1.6</v>
      </c>
      <c r="Y32" s="13">
        <f t="shared" si="5"/>
        <v>0.6777573679532642</v>
      </c>
      <c r="Z32" s="13">
        <f t="shared" si="5"/>
        <v>0.8950240336055415</v>
      </c>
      <c r="AA32" s="13">
        <f t="shared" si="5"/>
        <v>0.9677057363347162</v>
      </c>
      <c r="AB32" s="17"/>
    </row>
    <row r="33" spans="1:28" ht="13.5">
      <c r="A33" t="s">
        <v>97</v>
      </c>
      <c r="B33" s="35" t="s">
        <v>98</v>
      </c>
      <c r="J33" s="29">
        <v>8</v>
      </c>
      <c r="K33" s="2">
        <f t="shared" si="6"/>
        <v>8.337974548339844</v>
      </c>
      <c r="L33" s="17">
        <f t="shared" si="7"/>
        <v>0.09837034188683313</v>
      </c>
      <c r="M33" s="17">
        <f t="shared" si="8"/>
        <v>0.020628912707474495</v>
      </c>
      <c r="N33" s="17">
        <f t="shared" si="9"/>
        <v>0.02593665835145408</v>
      </c>
      <c r="O33"/>
      <c r="Q33" s="22">
        <f>100/99</f>
        <v>1.0101010101010102</v>
      </c>
      <c r="R33" s="13">
        <f t="shared" si="10"/>
        <v>0.05567380918716936</v>
      </c>
      <c r="S33" s="13">
        <f t="shared" si="11"/>
        <v>0.057901056574798236</v>
      </c>
      <c r="T33" s="13">
        <f t="shared" si="12"/>
        <v>0.05961719474407485</v>
      </c>
      <c r="U33" s="13"/>
      <c r="V33" s="13"/>
      <c r="X33" s="7">
        <v>1.8</v>
      </c>
      <c r="Y33" s="13">
        <f t="shared" si="5"/>
        <v>0.8145513719953413</v>
      </c>
      <c r="Z33" s="13">
        <f t="shared" si="5"/>
        <v>0.9680907018846655</v>
      </c>
      <c r="AA33" s="13">
        <f t="shared" si="5"/>
        <v>0.9949549543996657</v>
      </c>
      <c r="AB33" s="17"/>
    </row>
    <row r="34" spans="1:28" ht="13.5">
      <c r="A34" t="s">
        <v>100</v>
      </c>
      <c r="B34" s="35" t="s">
        <v>99</v>
      </c>
      <c r="J34" s="29">
        <v>9</v>
      </c>
      <c r="K34" s="2">
        <f t="shared" si="6"/>
        <v>9.380221366882324</v>
      </c>
      <c r="L34" s="17">
        <f t="shared" si="7"/>
        <v>0.08822206799841137</v>
      </c>
      <c r="M34" s="17">
        <f t="shared" si="8"/>
        <v>0.009644683504726944</v>
      </c>
      <c r="N34" s="17">
        <f t="shared" si="9"/>
        <v>0.0310713759476987</v>
      </c>
      <c r="O34"/>
      <c r="Q34" s="22">
        <f>5/4</f>
        <v>1.25</v>
      </c>
      <c r="R34" s="13">
        <f t="shared" si="10"/>
        <v>0.28767371683038906</v>
      </c>
      <c r="S34" s="13">
        <f t="shared" si="11"/>
        <v>0.4382629967492305</v>
      </c>
      <c r="T34" s="13">
        <f t="shared" si="12"/>
        <v>0.5589498189446936</v>
      </c>
      <c r="U34" s="13"/>
      <c r="V34" s="13"/>
      <c r="X34" s="7">
        <v>2</v>
      </c>
      <c r="Y34" s="13">
        <f t="shared" si="5"/>
        <v>0.8956512601264882</v>
      </c>
      <c r="Z34" s="13">
        <f t="shared" si="5"/>
        <v>0.990762307282634</v>
      </c>
      <c r="AA34" s="13">
        <f t="shared" si="5"/>
        <v>0.9992647341773893</v>
      </c>
      <c r="AB34" s="17"/>
    </row>
    <row r="35" spans="1:28" ht="13.5">
      <c r="A35" t="s">
        <v>101</v>
      </c>
      <c r="B35" s="35" t="s">
        <v>103</v>
      </c>
      <c r="J35" s="29">
        <v>10</v>
      </c>
      <c r="K35" s="2">
        <f t="shared" si="6"/>
        <v>10.422468185424805</v>
      </c>
      <c r="L35" s="17">
        <f t="shared" si="7"/>
        <v>0.07575435236225891</v>
      </c>
      <c r="M35" s="17">
        <f t="shared" si="8"/>
        <v>0.0043173473695255525</v>
      </c>
      <c r="N35" s="17">
        <f t="shared" si="9"/>
        <v>0.03563891904337554</v>
      </c>
      <c r="O35"/>
      <c r="Q35" s="22">
        <f>4/3</f>
        <v>1.3333333333333333</v>
      </c>
      <c r="R35" s="13">
        <f t="shared" si="10"/>
        <v>0.390988037653029</v>
      </c>
      <c r="S35" s="13">
        <f t="shared" si="11"/>
        <v>0.5928677073010205</v>
      </c>
      <c r="T35" s="13">
        <f t="shared" si="12"/>
        <v>0.7319689194179624</v>
      </c>
      <c r="U35" s="13"/>
      <c r="V35" s="13"/>
      <c r="X35" s="7">
        <v>2.2</v>
      </c>
      <c r="Y35" s="13">
        <f t="shared" si="5"/>
        <v>0.9413743804836896</v>
      </c>
      <c r="Z35" s="13">
        <f t="shared" si="5"/>
        <v>0.9973284022441847</v>
      </c>
      <c r="AA35" s="13">
        <f t="shared" si="5"/>
        <v>0.9998923890065965</v>
      </c>
      <c r="AB35" s="17"/>
    </row>
    <row r="36" spans="1:28" ht="13.5">
      <c r="A36" t="s">
        <v>102</v>
      </c>
      <c r="B36" s="35" t="s">
        <v>104</v>
      </c>
      <c r="J36" s="29">
        <v>11</v>
      </c>
      <c r="K36" s="2">
        <f t="shared" si="6"/>
        <v>11.464715003967285</v>
      </c>
      <c r="L36" s="17">
        <f t="shared" si="7"/>
        <v>0.0628002042295156</v>
      </c>
      <c r="M36" s="17">
        <f t="shared" si="8"/>
        <v>0.0018658175416401955</v>
      </c>
      <c r="N36" s="17">
        <f t="shared" si="9"/>
        <v>0.03946496627185899</v>
      </c>
      <c r="O36"/>
      <c r="Q36" s="22">
        <f>3/2</f>
        <v>1.5</v>
      </c>
      <c r="R36" s="13">
        <f t="shared" si="10"/>
        <v>0.583192434652685</v>
      </c>
      <c r="S36" s="13">
        <f t="shared" si="11"/>
        <v>0.8176356650344909</v>
      </c>
      <c r="T36" s="13">
        <f t="shared" si="12"/>
        <v>0.9234683774011639</v>
      </c>
      <c r="U36" s="13"/>
      <c r="V36" s="13"/>
      <c r="X36" s="7">
        <v>2.4</v>
      </c>
      <c r="Y36" s="13">
        <f t="shared" si="5"/>
        <v>0.9667282028758698</v>
      </c>
      <c r="Z36" s="13">
        <f t="shared" si="5"/>
        <v>0.9992082604758986</v>
      </c>
      <c r="AA36" s="13">
        <f t="shared" si="5"/>
        <v>0.9999835689280735</v>
      </c>
      <c r="AB36" s="17"/>
    </row>
    <row r="37" spans="10:28" ht="13.5">
      <c r="J37" s="29">
        <v>12</v>
      </c>
      <c r="K37" s="2">
        <f t="shared" si="6"/>
        <v>12.506961822509766</v>
      </c>
      <c r="L37" s="17">
        <f t="shared" si="7"/>
        <v>0.05057083153102854</v>
      </c>
      <c r="M37" s="17">
        <f t="shared" si="8"/>
        <v>0.0007832617261703599</v>
      </c>
      <c r="N37" s="17">
        <f t="shared" si="9"/>
        <v>0.042450679009828664</v>
      </c>
      <c r="O37"/>
      <c r="Q37" s="22">
        <v>2</v>
      </c>
      <c r="R37" s="13">
        <f t="shared" si="10"/>
        <v>0.8956512601264882</v>
      </c>
      <c r="S37" s="13">
        <f t="shared" si="11"/>
        <v>0.990762307282634</v>
      </c>
      <c r="T37" s="13">
        <f t="shared" si="12"/>
        <v>0.9992647341773893</v>
      </c>
      <c r="U37" s="13"/>
      <c r="V37" s="13"/>
      <c r="X37" s="7">
        <v>2.6</v>
      </c>
      <c r="Y37" s="13">
        <f t="shared" si="5"/>
        <v>0.9808079675223957</v>
      </c>
      <c r="Z37" s="13">
        <f t="shared" si="5"/>
        <v>0.9997564436823946</v>
      </c>
      <c r="AA37" s="13">
        <f t="shared" si="5"/>
        <v>0.9999973329997229</v>
      </c>
      <c r="AB37" s="17"/>
    </row>
    <row r="38" spans="10:28" ht="13.5">
      <c r="J38" s="29">
        <v>13</v>
      </c>
      <c r="K38" s="2">
        <f t="shared" si="6"/>
        <v>13.549208641052246</v>
      </c>
      <c r="L38" s="17">
        <f t="shared" si="7"/>
        <v>0.039741708866131153</v>
      </c>
      <c r="M38" s="17">
        <f t="shared" si="8"/>
        <v>0.00032088693628537404</v>
      </c>
      <c r="N38" s="17">
        <f t="shared" si="9"/>
        <v>0.04456202072924656</v>
      </c>
      <c r="O38"/>
      <c r="Q38" s="22">
        <f>5/2</f>
        <v>2.5</v>
      </c>
      <c r="R38" s="13">
        <f t="shared" si="10"/>
        <v>0.9747877171269398</v>
      </c>
      <c r="S38" s="13">
        <f t="shared" si="11"/>
        <v>0.9995631290944644</v>
      </c>
      <c r="T38" s="13">
        <f t="shared" si="12"/>
        <v>0.9999934351228781</v>
      </c>
      <c r="U38" s="13"/>
      <c r="V38" s="13"/>
      <c r="X38" s="7">
        <v>2.8</v>
      </c>
      <c r="Y38" s="13">
        <f t="shared" si="5"/>
        <v>0.9887147828187682</v>
      </c>
      <c r="Z38" s="13">
        <f t="shared" si="5"/>
        <v>0.9999217676799259</v>
      </c>
      <c r="AA38" s="13">
        <f t="shared" si="5"/>
        <v>0.9999995360430881</v>
      </c>
      <c r="AB38" s="17"/>
    </row>
    <row r="39" spans="10:27" ht="13.5">
      <c r="J39" s="29">
        <v>14</v>
      </c>
      <c r="K39" s="2">
        <f t="shared" si="6"/>
        <v>14.591455459594727</v>
      </c>
      <c r="L39" s="17">
        <f t="shared" si="7"/>
        <v>0.030589473991541466</v>
      </c>
      <c r="M39" s="17">
        <f t="shared" si="8"/>
        <v>0.00012875858072639203</v>
      </c>
      <c r="N39" s="17">
        <f t="shared" si="9"/>
        <v>0.04581674777635541</v>
      </c>
      <c r="O39"/>
      <c r="Q39" s="25">
        <v>3</v>
      </c>
      <c r="R39" s="15">
        <f t="shared" si="10"/>
        <v>0.9932276722475697</v>
      </c>
      <c r="S39" s="15">
        <f t="shared" si="11"/>
        <v>0.9999737088721443</v>
      </c>
      <c r="T39" s="15">
        <f t="shared" si="12"/>
        <v>0.9999999132928844</v>
      </c>
      <c r="U39" s="13"/>
      <c r="V39" s="13"/>
      <c r="X39" s="14">
        <v>3</v>
      </c>
      <c r="Y39" s="15">
        <f t="shared" si="5"/>
        <v>0.9932276722475697</v>
      </c>
      <c r="Z39" s="15">
        <f t="shared" si="5"/>
        <v>0.9999737088721443</v>
      </c>
      <c r="AA39" s="15">
        <f t="shared" si="5"/>
        <v>0.9999999132928844</v>
      </c>
    </row>
    <row r="40" spans="10:15" ht="13.5">
      <c r="J40" s="29">
        <v>15</v>
      </c>
      <c r="K40" s="2">
        <f t="shared" si="6"/>
        <v>15.633702278137207</v>
      </c>
      <c r="L40" s="17">
        <f t="shared" si="7"/>
        <v>0.02312716178772059</v>
      </c>
      <c r="M40" s="17">
        <f t="shared" si="8"/>
        <v>5.0748733592466534E-05</v>
      </c>
      <c r="N40" s="17">
        <f t="shared" si="9"/>
        <v>0.04627094913493372</v>
      </c>
      <c r="O40"/>
    </row>
    <row r="41" spans="10:22" ht="13.5">
      <c r="J41" s="29">
        <v>16</v>
      </c>
      <c r="K41" s="2">
        <f t="shared" si="6"/>
        <v>16.675949096679688</v>
      </c>
      <c r="L41" s="17">
        <f t="shared" si="7"/>
        <v>0.01721479739610933</v>
      </c>
      <c r="M41" s="17">
        <f t="shared" si="8"/>
        <v>1.969261920879842E-05</v>
      </c>
      <c r="N41" s="17">
        <f t="shared" si="9"/>
        <v>0.04600679214430168</v>
      </c>
      <c r="O41"/>
      <c r="Q41" t="s">
        <v>12</v>
      </c>
      <c r="V41" t="s">
        <v>13</v>
      </c>
    </row>
    <row r="42" spans="10:25" ht="13.5">
      <c r="J42" s="29">
        <v>17</v>
      </c>
      <c r="K42" s="2">
        <f t="shared" si="6"/>
        <v>17.718195915222168</v>
      </c>
      <c r="L42" s="17">
        <f t="shared" si="7"/>
        <v>0.0126395683137083</v>
      </c>
      <c r="M42" s="17">
        <f t="shared" si="8"/>
        <v>7.5375899158589E-06</v>
      </c>
      <c r="N42" s="17">
        <f t="shared" si="9"/>
        <v>0.04512176663729791</v>
      </c>
      <c r="O42"/>
      <c r="Q42" s="3" t="s">
        <v>4</v>
      </c>
      <c r="R42">
        <v>0.05</v>
      </c>
      <c r="X42" s="3" t="s">
        <v>4</v>
      </c>
      <c r="Y42">
        <v>0.05</v>
      </c>
    </row>
    <row r="43" spans="10:27" ht="13.5">
      <c r="J43" s="29">
        <v>18</v>
      </c>
      <c r="K43" s="2">
        <f t="shared" si="6"/>
        <v>18.76044273376465</v>
      </c>
      <c r="L43" s="17">
        <f t="shared" si="7"/>
        <v>0.009168405647766442</v>
      </c>
      <c r="M43" s="17">
        <f t="shared" si="8"/>
        <v>2.8503145027188433E-06</v>
      </c>
      <c r="N43" s="17">
        <f t="shared" si="9"/>
        <v>0.04372015194970362</v>
      </c>
      <c r="O43"/>
      <c r="Q43" s="21" t="s">
        <v>3</v>
      </c>
      <c r="R43" s="159" t="s">
        <v>5</v>
      </c>
      <c r="S43" s="159"/>
      <c r="T43" s="159"/>
      <c r="U43" s="32"/>
      <c r="V43" s="32"/>
      <c r="X43" s="21" t="s">
        <v>3</v>
      </c>
      <c r="Y43" s="161" t="s">
        <v>5</v>
      </c>
      <c r="Z43" s="161"/>
      <c r="AA43" s="161"/>
    </row>
    <row r="44" spans="10:28" ht="13.5">
      <c r="J44" s="29">
        <v>19</v>
      </c>
      <c r="K44" s="2">
        <f t="shared" si="6"/>
        <v>19.80268955230713</v>
      </c>
      <c r="L44" s="17">
        <f t="shared" si="7"/>
        <v>0.0065789515253524</v>
      </c>
      <c r="M44" s="17">
        <f t="shared" si="8"/>
        <v>1.0662384718744789E-06</v>
      </c>
      <c r="N44" s="17">
        <f t="shared" si="9"/>
        <v>0.04190620539078359</v>
      </c>
      <c r="O44"/>
      <c r="Q44" s="16"/>
      <c r="R44" s="4">
        <v>10</v>
      </c>
      <c r="S44" s="4">
        <v>20</v>
      </c>
      <c r="T44" s="4">
        <v>30</v>
      </c>
      <c r="U44" s="19"/>
      <c r="V44" s="19"/>
      <c r="X44" s="9"/>
      <c r="Y44" s="26">
        <v>10</v>
      </c>
      <c r="Z44" s="26">
        <v>20</v>
      </c>
      <c r="AA44" s="26">
        <v>30</v>
      </c>
      <c r="AB44" s="18"/>
    </row>
    <row r="45" spans="4:28" ht="13.5">
      <c r="D45" s="1"/>
      <c r="E45" s="1"/>
      <c r="F45" s="1"/>
      <c r="J45" s="29">
        <v>20</v>
      </c>
      <c r="K45" s="2">
        <f t="shared" si="6"/>
        <v>20.84493637084961</v>
      </c>
      <c r="L45" s="17">
        <f t="shared" si="7"/>
        <v>0.004675231224534303</v>
      </c>
      <c r="M45" s="17">
        <f t="shared" si="8"/>
        <v>3.9500214871961684E-07</v>
      </c>
      <c r="N45" s="17">
        <f t="shared" si="9"/>
        <v>0.03977945893327808</v>
      </c>
      <c r="O45"/>
      <c r="Q45" s="24">
        <f>1/3</f>
        <v>0.3333333333333333</v>
      </c>
      <c r="R45" s="13">
        <f aca="true" t="shared" si="13" ref="R45:T46">1-CHIDIST(CHIINV(1-$Y$2,Y$4-1)/$Q45^2,Y$4-1)</f>
        <v>0.9995483833723883</v>
      </c>
      <c r="S45" s="13">
        <f t="shared" si="13"/>
        <v>0.9999999999784254</v>
      </c>
      <c r="T45" s="13">
        <f t="shared" si="13"/>
        <v>1</v>
      </c>
      <c r="U45" s="13"/>
      <c r="V45" s="13"/>
      <c r="X45" s="11">
        <v>0.1</v>
      </c>
      <c r="Y45" s="12">
        <f>1-CHIDIST(CHIINV(1-$Y$2,Y$4-1)/$X45^2,Y$4-1)</f>
        <v>1</v>
      </c>
      <c r="Z45" s="12">
        <f aca="true" t="shared" si="14" ref="Z45:AA59">1-CHIDIST(CHIINV(1-$Y$2,Z$4-1)/$X45^2,Z$4-1)</f>
        <v>1</v>
      </c>
      <c r="AA45" s="12">
        <f t="shared" si="14"/>
        <v>1</v>
      </c>
      <c r="AB45" s="17"/>
    </row>
    <row r="46" spans="10:28" ht="13.5">
      <c r="J46" s="29">
        <v>21</v>
      </c>
      <c r="K46" s="2">
        <f t="shared" si="6"/>
        <v>21.88718318939209</v>
      </c>
      <c r="L46" s="17">
        <f t="shared" si="7"/>
        <v>0.003293401391233318</v>
      </c>
      <c r="M46" s="17">
        <f t="shared" si="8"/>
        <v>1.4505734709909204E-07</v>
      </c>
      <c r="N46" s="17">
        <f t="shared" si="9"/>
        <v>0.037431251626799764</v>
      </c>
      <c r="O46"/>
      <c r="Q46" s="22">
        <f>2/5</f>
        <v>0.4</v>
      </c>
      <c r="R46" s="13">
        <f t="shared" si="13"/>
        <v>0.9863455122579251</v>
      </c>
      <c r="S46" s="13">
        <f t="shared" si="13"/>
        <v>0.9999988200324049</v>
      </c>
      <c r="T46" s="13">
        <f t="shared" si="13"/>
        <v>0.9999999999821171</v>
      </c>
      <c r="U46" s="13"/>
      <c r="V46" s="13"/>
      <c r="X46" s="7">
        <v>0.2</v>
      </c>
      <c r="Y46" s="13">
        <f aca="true" t="shared" si="15" ref="Y46:Y59">1-CHIDIST(CHIINV(1-$Y$2,Y$4-1)/$X46^2,Y$4-1)</f>
        <v>0.9999999999999615</v>
      </c>
      <c r="Z46" s="13">
        <f t="shared" si="14"/>
        <v>1</v>
      </c>
      <c r="AA46" s="13">
        <f t="shared" si="14"/>
        <v>1</v>
      </c>
      <c r="AB46" s="17"/>
    </row>
    <row r="47" spans="4:28" ht="13.5">
      <c r="D47" s="1"/>
      <c r="E47" s="1"/>
      <c r="F47" s="1"/>
      <c r="J47" s="29">
        <v>22</v>
      </c>
      <c r="K47" s="2">
        <f t="shared" si="6"/>
        <v>22.92943000793457</v>
      </c>
      <c r="L47" s="17">
        <f t="shared" si="7"/>
        <v>0.002301630137940521</v>
      </c>
      <c r="M47" s="17">
        <f t="shared" si="8"/>
        <v>5.2848091172037186E-08</v>
      </c>
      <c r="N47" s="17">
        <f t="shared" si="9"/>
        <v>0.03494291932953056</v>
      </c>
      <c r="O47"/>
      <c r="Q47" s="22">
        <f>1/2</f>
        <v>0.5</v>
      </c>
      <c r="R47" s="13">
        <f aca="true" t="shared" si="16" ref="R47:R59">1-CHIDIST(CHIINV(1-$Y$2,Y$4-1)/$Q47^2,Y$4-1)</f>
        <v>0.8505246534508053</v>
      </c>
      <c r="S47" s="13">
        <f>1-CHIDIST(CHIINV(1-$Y$2,Z$4-1)/$Q47^2,Z$4-1)</f>
        <v>0.9971607138956574</v>
      </c>
      <c r="T47" s="13">
        <f>1-CHIDIST(CHIINV(1-$Y$2,AA$4-1)/$Q47^2,AA$4-1)</f>
        <v>0.9999767007644343</v>
      </c>
      <c r="U47" s="13"/>
      <c r="V47" s="13"/>
      <c r="X47" s="7">
        <v>0.3</v>
      </c>
      <c r="Y47" s="13">
        <f t="shared" si="15"/>
        <v>0.9999730882739154</v>
      </c>
      <c r="Z47" s="13">
        <f t="shared" si="14"/>
        <v>0.9999999999999971</v>
      </c>
      <c r="AA47" s="13">
        <f t="shared" si="14"/>
        <v>1</v>
      </c>
      <c r="AB47" s="17"/>
    </row>
    <row r="48" spans="10:28" ht="13.5">
      <c r="J48" s="29">
        <v>23</v>
      </c>
      <c r="K48" s="2">
        <f t="shared" si="6"/>
        <v>23.97167682647705</v>
      </c>
      <c r="L48" s="17">
        <f t="shared" si="7"/>
        <v>0.001596917924068502</v>
      </c>
      <c r="M48" s="17">
        <f t="shared" si="8"/>
        <v>1.911503382030907E-08</v>
      </c>
      <c r="N48" s="17">
        <f t="shared" si="9"/>
        <v>0.032384719658642674</v>
      </c>
      <c r="O48"/>
      <c r="Q48" s="22">
        <f>2/3</f>
        <v>0.6666666666666666</v>
      </c>
      <c r="R48" s="13">
        <f t="shared" si="16"/>
        <v>0.4128817122137627</v>
      </c>
      <c r="S48" s="13">
        <f aca="true" t="shared" si="17" ref="S48:S59">1-CHIDIST(CHIINV(1-$Y$2,Z$4-1)/$Q48^2,Z$4-1)</f>
        <v>0.7520699758954774</v>
      </c>
      <c r="T48" s="13">
        <f aca="true" t="shared" si="18" ref="T48:T59">1-CHIDIST(CHIINV(1-$Y$2,AA$4-1)/$Q48^2,AA$4-1)</f>
        <v>0.9134776077722699</v>
      </c>
      <c r="U48" s="13"/>
      <c r="V48" s="13"/>
      <c r="X48" s="7">
        <v>0.4</v>
      </c>
      <c r="Y48" s="13">
        <f t="shared" si="15"/>
        <v>0.9863455122579251</v>
      </c>
      <c r="Z48" s="13">
        <f t="shared" si="14"/>
        <v>0.9999988200324049</v>
      </c>
      <c r="AA48" s="13">
        <f t="shared" si="14"/>
        <v>0.9999999999821171</v>
      </c>
      <c r="AB48" s="17"/>
    </row>
    <row r="49" spans="10:28" ht="13.5">
      <c r="J49" s="29">
        <v>24</v>
      </c>
      <c r="K49" s="2">
        <f t="shared" si="6"/>
        <v>25.01392364501953</v>
      </c>
      <c r="L49" s="17">
        <f t="shared" si="7"/>
        <v>0.001100660876119145</v>
      </c>
      <c r="M49" s="17">
        <f t="shared" si="8"/>
        <v>6.868228117503967E-09</v>
      </c>
      <c r="N49" s="17">
        <f t="shared" si="9"/>
        <v>0.029815698021159097</v>
      </c>
      <c r="O49"/>
      <c r="Q49" s="22">
        <f>3/4</f>
        <v>0.75</v>
      </c>
      <c r="R49" s="13">
        <f t="shared" si="16"/>
        <v>0.2512396406306311</v>
      </c>
      <c r="S49" s="13">
        <f t="shared" si="17"/>
        <v>0.4766121951453217</v>
      </c>
      <c r="T49" s="13">
        <f t="shared" si="18"/>
        <v>0.6569171352554339</v>
      </c>
      <c r="U49" s="13"/>
      <c r="V49" s="13"/>
      <c r="X49" s="7">
        <v>0.5</v>
      </c>
      <c r="Y49" s="13">
        <f t="shared" si="15"/>
        <v>0.8505246534508053</v>
      </c>
      <c r="Z49" s="13">
        <f t="shared" si="14"/>
        <v>0.9971607138956574</v>
      </c>
      <c r="AA49" s="13">
        <f t="shared" si="14"/>
        <v>0.9999767007644343</v>
      </c>
      <c r="AB49" s="17"/>
    </row>
    <row r="50" spans="10:28" ht="13.5">
      <c r="J50" s="29">
        <v>25</v>
      </c>
      <c r="K50" s="2">
        <f t="shared" si="6"/>
        <v>26.05617046356201</v>
      </c>
      <c r="L50" s="17">
        <f t="shared" si="7"/>
        <v>0.000754020624699832</v>
      </c>
      <c r="M50" s="17">
        <f t="shared" si="8"/>
        <v>2.4528619970261277E-09</v>
      </c>
      <c r="N50" s="17">
        <f t="shared" si="9"/>
        <v>0.027284034342319987</v>
      </c>
      <c r="O50"/>
      <c r="Q50" s="22">
        <f>4/5</f>
        <v>0.8</v>
      </c>
      <c r="R50" s="13">
        <f t="shared" si="16"/>
        <v>0.18305549419027223</v>
      </c>
      <c r="S50" s="13">
        <f t="shared" si="17"/>
        <v>0.32994063709569044</v>
      </c>
      <c r="T50" s="13">
        <f t="shared" si="18"/>
        <v>0.4643602465747232</v>
      </c>
      <c r="U50" s="13"/>
      <c r="V50" s="13"/>
      <c r="X50" s="7">
        <v>0.6</v>
      </c>
      <c r="Y50" s="13">
        <f t="shared" si="15"/>
        <v>0.5842578525196421</v>
      </c>
      <c r="Z50" s="13">
        <f t="shared" si="14"/>
        <v>0.918529808259501</v>
      </c>
      <c r="AA50" s="13">
        <f t="shared" si="14"/>
        <v>0.988974646524735</v>
      </c>
      <c r="AB50" s="17"/>
    </row>
    <row r="51" spans="10:28" ht="13.5">
      <c r="J51" s="17"/>
      <c r="K51" s="1">
        <f>O4</f>
        <v>16.918960157985552</v>
      </c>
      <c r="L51" s="17"/>
      <c r="M51" s="17"/>
      <c r="N51" s="17"/>
      <c r="O51">
        <v>0</v>
      </c>
      <c r="Q51" s="22">
        <f>9/10</f>
        <v>0.9</v>
      </c>
      <c r="R51" s="13">
        <f t="shared" si="16"/>
        <v>0.09563885170088948</v>
      </c>
      <c r="S51" s="13">
        <f t="shared" si="17"/>
        <v>0.13637954210382852</v>
      </c>
      <c r="T51" s="13">
        <f t="shared" si="18"/>
        <v>0.17414971418295833</v>
      </c>
      <c r="U51" s="13"/>
      <c r="V51" s="13"/>
      <c r="X51" s="7">
        <v>0.7</v>
      </c>
      <c r="Y51" s="13">
        <f t="shared" si="15"/>
        <v>0.340606008597679</v>
      </c>
      <c r="Z51" s="13">
        <f t="shared" si="14"/>
        <v>0.643367693763673</v>
      </c>
      <c r="AA51" s="13">
        <f t="shared" si="14"/>
        <v>0.8304659020747303</v>
      </c>
      <c r="AB51" s="17"/>
    </row>
    <row r="52" spans="10:28" ht="13.5">
      <c r="J52" s="17"/>
      <c r="K52" s="1">
        <f>K51</f>
        <v>16.918960157985552</v>
      </c>
      <c r="L52" s="17"/>
      <c r="M52" s="17"/>
      <c r="N52" s="17"/>
      <c r="O52">
        <v>0.1</v>
      </c>
      <c r="Q52" s="28">
        <v>1</v>
      </c>
      <c r="R52" s="10">
        <f t="shared" si="16"/>
        <v>0.05000010996668236</v>
      </c>
      <c r="S52" s="10">
        <f t="shared" si="17"/>
        <v>0.04999982050909979</v>
      </c>
      <c r="T52" s="10">
        <f t="shared" si="18"/>
        <v>0.050000284758923264</v>
      </c>
      <c r="U52" s="13"/>
      <c r="V52" s="13"/>
      <c r="X52" s="7">
        <v>0.8</v>
      </c>
      <c r="Y52" s="13">
        <f t="shared" si="15"/>
        <v>0.18305549419027223</v>
      </c>
      <c r="Z52" s="13">
        <f t="shared" si="14"/>
        <v>0.32994063709569044</v>
      </c>
      <c r="AA52" s="13">
        <f t="shared" si="14"/>
        <v>0.4643602465747232</v>
      </c>
      <c r="AB52" s="17"/>
    </row>
    <row r="53" spans="10:28" ht="13.5">
      <c r="J53" s="17"/>
      <c r="K53" s="17"/>
      <c r="L53"/>
      <c r="M53"/>
      <c r="N53"/>
      <c r="O53"/>
      <c r="Q53" s="22">
        <f>100/99</f>
        <v>1.0101010101010102</v>
      </c>
      <c r="R53" s="13">
        <f t="shared" si="16"/>
        <v>0.04686214482944695</v>
      </c>
      <c r="S53" s="13">
        <f t="shared" si="17"/>
        <v>0.04500475995599895</v>
      </c>
      <c r="T53" s="13">
        <f t="shared" si="18"/>
        <v>0.04364089717823083</v>
      </c>
      <c r="U53" s="13"/>
      <c r="V53" s="13"/>
      <c r="X53" s="7">
        <v>0.9</v>
      </c>
      <c r="Y53" s="13">
        <f t="shared" si="15"/>
        <v>0.09563885170088948</v>
      </c>
      <c r="Z53" s="13">
        <f t="shared" si="14"/>
        <v>0.13637954210382852</v>
      </c>
      <c r="AA53" s="13">
        <f t="shared" si="14"/>
        <v>0.17414971418295833</v>
      </c>
      <c r="AB53" s="17"/>
    </row>
    <row r="54" spans="10:28" ht="13.5">
      <c r="J54"/>
      <c r="K54" s="1">
        <f>N4</f>
        <v>3.3251151402069468</v>
      </c>
      <c r="L54"/>
      <c r="M54"/>
      <c r="N54"/>
      <c r="O54">
        <v>0</v>
      </c>
      <c r="Q54" s="22">
        <f>5/4</f>
        <v>1.25</v>
      </c>
      <c r="R54" s="13">
        <f t="shared" si="16"/>
        <v>0.010723544296048604</v>
      </c>
      <c r="S54" s="13">
        <f t="shared" si="17"/>
        <v>0.0034693329343549184</v>
      </c>
      <c r="T54" s="13">
        <f t="shared" si="18"/>
        <v>0.0013413431524410546</v>
      </c>
      <c r="U54" s="13"/>
      <c r="V54" s="13"/>
      <c r="X54" s="27">
        <v>1</v>
      </c>
      <c r="Y54" s="10">
        <f t="shared" si="15"/>
        <v>0.05000010996668236</v>
      </c>
      <c r="Z54" s="10">
        <f t="shared" si="14"/>
        <v>0.04999982050909979</v>
      </c>
      <c r="AA54" s="10">
        <f t="shared" si="14"/>
        <v>0.050000284758923264</v>
      </c>
      <c r="AB54" s="17"/>
    </row>
    <row r="55" spans="10:28" ht="13.5">
      <c r="J55"/>
      <c r="K55" s="1">
        <f>K54</f>
        <v>3.3251151402069468</v>
      </c>
      <c r="L55"/>
      <c r="M55"/>
      <c r="N55"/>
      <c r="O55">
        <v>0.1</v>
      </c>
      <c r="Q55" s="22">
        <f>4/3</f>
        <v>1.3333333333333333</v>
      </c>
      <c r="R55" s="13">
        <f t="shared" si="16"/>
        <v>0.0066446234156569695</v>
      </c>
      <c r="S55" s="13">
        <f t="shared" si="17"/>
        <v>0.001435373940588458</v>
      </c>
      <c r="T55" s="13">
        <f t="shared" si="18"/>
        <v>0.0003852280987349799</v>
      </c>
      <c r="U55" s="13"/>
      <c r="V55" s="13"/>
      <c r="X55" s="7">
        <v>1.1</v>
      </c>
      <c r="Y55" s="13">
        <f t="shared" si="15"/>
        <v>0.026546967265132393</v>
      </c>
      <c r="Z55" s="13">
        <f t="shared" si="14"/>
        <v>0.017346698756417145</v>
      </c>
      <c r="AA55" s="13">
        <f t="shared" si="14"/>
        <v>0.012342618736185251</v>
      </c>
      <c r="AB55" s="17"/>
    </row>
    <row r="56" spans="10:28" ht="13.5">
      <c r="J56"/>
      <c r="K56"/>
      <c r="L56"/>
      <c r="M56"/>
      <c r="N56"/>
      <c r="O56"/>
      <c r="Q56" s="22">
        <f>3/2</f>
        <v>1.5</v>
      </c>
      <c r="R56" s="13">
        <f t="shared" si="16"/>
        <v>0.002692071737987578</v>
      </c>
      <c r="S56" s="13">
        <f t="shared" si="17"/>
        <v>0.00025931822568181495</v>
      </c>
      <c r="T56" s="13">
        <f t="shared" si="18"/>
        <v>3.292597135140518E-05</v>
      </c>
      <c r="U56" s="13"/>
      <c r="V56" s="13"/>
      <c r="X56" s="7">
        <v>1.2</v>
      </c>
      <c r="Y56" s="13">
        <f t="shared" si="15"/>
        <v>0.014415505588863842</v>
      </c>
      <c r="Z56" s="13">
        <f t="shared" si="14"/>
        <v>0.005925034688533004</v>
      </c>
      <c r="AA56" s="13">
        <f t="shared" si="14"/>
        <v>0.0028320596286713906</v>
      </c>
      <c r="AB56" s="17"/>
    </row>
    <row r="57" spans="10:28" ht="13.5">
      <c r="J57"/>
      <c r="K57"/>
      <c r="L57"/>
      <c r="M57"/>
      <c r="N57"/>
      <c r="O57"/>
      <c r="Q57" s="22">
        <v>2</v>
      </c>
      <c r="R57" s="13">
        <f t="shared" si="16"/>
        <v>0.00026215459223022375</v>
      </c>
      <c r="S57" s="13">
        <f t="shared" si="17"/>
        <v>2.631120180951463E-06</v>
      </c>
      <c r="T57" s="13">
        <f t="shared" si="18"/>
        <v>3.835681661179535E-08</v>
      </c>
      <c r="U57" s="13"/>
      <c r="V57" s="13"/>
      <c r="X57" s="7">
        <v>1.3</v>
      </c>
      <c r="Y57" s="13">
        <f t="shared" si="15"/>
        <v>0.008029187973876861</v>
      </c>
      <c r="Z57" s="13">
        <f t="shared" si="14"/>
        <v>0.0020394805687258266</v>
      </c>
      <c r="AA57" s="13">
        <f t="shared" si="14"/>
        <v>0.000634254403881207</v>
      </c>
      <c r="AB57" s="17"/>
    </row>
    <row r="58" spans="17:28" ht="13.5">
      <c r="Q58" s="22">
        <f>5/2</f>
        <v>2.5</v>
      </c>
      <c r="R58" s="13">
        <f t="shared" si="16"/>
        <v>3.972040998789783E-05</v>
      </c>
      <c r="S58" s="13">
        <f t="shared" si="17"/>
        <v>5.702852423628002E-08</v>
      </c>
      <c r="T58" s="13">
        <f t="shared" si="18"/>
        <v>1.243589675681278E-10</v>
      </c>
      <c r="U58" s="13"/>
      <c r="V58" s="13"/>
      <c r="X58" s="7">
        <v>1.4</v>
      </c>
      <c r="Y58" s="13">
        <f t="shared" si="15"/>
        <v>0.004590182110158714</v>
      </c>
      <c r="Z58" s="13">
        <f t="shared" si="14"/>
        <v>0.0007169771394868185</v>
      </c>
      <c r="AA58" s="13">
        <f t="shared" si="14"/>
        <v>0.0001428326926132817</v>
      </c>
      <c r="AB58" s="17"/>
    </row>
    <row r="59" spans="17:27" ht="13.5">
      <c r="Q59" s="25">
        <v>3</v>
      </c>
      <c r="R59" s="15">
        <f t="shared" si="16"/>
        <v>8.223912250637788E-06</v>
      </c>
      <c r="S59" s="15">
        <f t="shared" si="17"/>
        <v>2.2296932078447185E-09</v>
      </c>
      <c r="T59" s="15">
        <f t="shared" si="18"/>
        <v>9.405809464624326E-13</v>
      </c>
      <c r="U59" s="13"/>
      <c r="V59" s="13"/>
      <c r="X59" s="14">
        <v>1.5</v>
      </c>
      <c r="Y59" s="15">
        <f t="shared" si="15"/>
        <v>0.002692071737987578</v>
      </c>
      <c r="Z59" s="15">
        <f t="shared" si="14"/>
        <v>0.00025931822568181495</v>
      </c>
      <c r="AA59" s="15">
        <f t="shared" si="14"/>
        <v>3.292597135140518E-05</v>
      </c>
    </row>
    <row r="60" spans="29:30" ht="13.5">
      <c r="AC60" s="19"/>
      <c r="AD60" s="19"/>
    </row>
    <row r="61" spans="29:30" ht="13.5">
      <c r="AC61" s="20"/>
      <c r="AD61" s="20"/>
    </row>
    <row r="62" spans="29:30" ht="13.5">
      <c r="AC62" s="17"/>
      <c r="AD62" s="17"/>
    </row>
    <row r="63" spans="29:30" ht="14.25" thickBot="1">
      <c r="AC63" s="17"/>
      <c r="AD63" s="17"/>
    </row>
    <row r="64" spans="17:30" ht="14.25" thickBot="1">
      <c r="Q64" t="s">
        <v>42</v>
      </c>
      <c r="R64" s="33">
        <v>3</v>
      </c>
      <c r="T64">
        <f>CHIINV(0.005,R64)</f>
        <v>12.838073203624845</v>
      </c>
      <c r="V64" t="s">
        <v>44</v>
      </c>
      <c r="AC64" s="17"/>
      <c r="AD64" s="17"/>
    </row>
    <row r="65" spans="17:30" ht="14.25" thickBot="1">
      <c r="Q65" t="s">
        <v>22</v>
      </c>
      <c r="R65" s="33">
        <v>0.05</v>
      </c>
      <c r="T65">
        <f>T64/100</f>
        <v>0.12838073203624845</v>
      </c>
      <c r="V65" t="s">
        <v>45</v>
      </c>
      <c r="AC65" s="17"/>
      <c r="AD65" s="17"/>
    </row>
    <row r="66" spans="29:30" ht="13.5">
      <c r="AC66" s="17"/>
      <c r="AD66" s="17"/>
    </row>
    <row r="67" spans="17:30" ht="13.5">
      <c r="Q67" s="9" t="s">
        <v>43</v>
      </c>
      <c r="R67" s="38" t="s">
        <v>23</v>
      </c>
      <c r="S67" s="38"/>
      <c r="T67" s="38" t="s">
        <v>22</v>
      </c>
      <c r="AC67" s="17"/>
      <c r="AD67" s="17"/>
    </row>
    <row r="68" spans="17:30" ht="13.5">
      <c r="Q68" s="8">
        <v>0</v>
      </c>
      <c r="R68" s="1">
        <f>(1-CHIDIST(Q68+$T$65,$R$64))/($T$65)</f>
        <v>0.09170725321300592</v>
      </c>
      <c r="T68" s="1">
        <v>1</v>
      </c>
      <c r="AC68" s="17"/>
      <c r="AD68" s="17"/>
    </row>
    <row r="69" spans="17:30" ht="13.5">
      <c r="Q69" s="22">
        <f>Q68+T$64/25</f>
        <v>0.5135229281449938</v>
      </c>
      <c r="R69" s="1">
        <f>(CHIDIST(Q69-$T$65,$R$64)-CHIDIST(Q69+$T$65,$R$64))/(2*$T$65)</f>
        <v>0.2201202240637815</v>
      </c>
      <c r="T69" s="1">
        <f>CHIDIST(Q69,$R$64)</f>
        <v>0.915910596292767</v>
      </c>
      <c r="AC69" s="17"/>
      <c r="AD69" s="17"/>
    </row>
    <row r="70" spans="17:30" ht="13.5">
      <c r="Q70" s="22">
        <f aca="true" t="shared" si="19" ref="Q70:Q91">Q69+T$64/25</f>
        <v>1.0270458562899876</v>
      </c>
      <c r="R70" s="1">
        <f>(CHIDIST(Q70-$T$65,$R$64)-CHIDIST(Q70+$T$65,$R$64))/(2*$T$65)</f>
        <v>0.24161121726098214</v>
      </c>
      <c r="T70" s="1">
        <f aca="true" t="shared" si="20" ref="T70:T93">CHIDIST(Q70,$R$64)</f>
        <v>0.7947080460222373</v>
      </c>
      <c r="AC70" s="17"/>
      <c r="AD70" s="17"/>
    </row>
    <row r="71" spans="17:30" ht="13.5">
      <c r="Q71" s="22">
        <f t="shared" si="19"/>
        <v>1.5405687844349814</v>
      </c>
      <c r="R71" s="1">
        <f>(CHIDIST(Q71-$T$65,$R$64)-CHIDIST(Q71+$T$65,$R$64))/(2*$T$65)</f>
        <v>0.2290894219573518</v>
      </c>
      <c r="T71" s="1">
        <f t="shared" si="20"/>
        <v>0.6729392221937286</v>
      </c>
      <c r="AC71" s="17"/>
      <c r="AD71" s="17"/>
    </row>
    <row r="72" spans="17:30" ht="13.5">
      <c r="Q72" s="22">
        <f t="shared" si="19"/>
        <v>2.054091712579975</v>
      </c>
      <c r="R72" s="1">
        <f>(CHIDIST(Q72-$T$65,$R$64)-CHIDIST(Q72+$T$65,$R$64))/(2*$T$65)</f>
        <v>0.2046993525978042</v>
      </c>
      <c r="T72" s="1">
        <f t="shared" si="20"/>
        <v>0.5612560085136273</v>
      </c>
      <c r="AC72" s="17"/>
      <c r="AD72" s="17"/>
    </row>
    <row r="73" spans="17:30" ht="13.5">
      <c r="Q73" s="22">
        <f t="shared" si="19"/>
        <v>2.567614640724969</v>
      </c>
      <c r="R73" s="1">
        <f aca="true" t="shared" si="21" ref="R73:R93">(CHIDIST(Q73-$T$65,$R$64)-CHIDIST(Q73+$T$65,$R$64))/(2*$T$65)</f>
        <v>0.17707002325271823</v>
      </c>
      <c r="T73" s="1">
        <f t="shared" si="20"/>
        <v>0.4631954301701031</v>
      </c>
      <c r="AC73" s="17"/>
      <c r="AD73" s="17"/>
    </row>
    <row r="74" spans="17:30" ht="13.5">
      <c r="Q74" s="22">
        <f t="shared" si="19"/>
        <v>3.0811375688699627</v>
      </c>
      <c r="R74" s="1">
        <f t="shared" si="21"/>
        <v>0.15006495755829408</v>
      </c>
      <c r="T74" s="1">
        <f t="shared" si="20"/>
        <v>0.37928369916000526</v>
      </c>
      <c r="AC74" s="17"/>
      <c r="AD74" s="17"/>
    </row>
    <row r="75" spans="17:20" ht="13.5">
      <c r="Q75" s="22">
        <f t="shared" si="19"/>
        <v>3.5946604970149565</v>
      </c>
      <c r="R75" s="1">
        <f t="shared" si="21"/>
        <v>0.12539425727404135</v>
      </c>
      <c r="T75" s="1">
        <f t="shared" si="20"/>
        <v>0.3086908399075262</v>
      </c>
    </row>
    <row r="76" spans="17:20" ht="13.5">
      <c r="Q76" s="22">
        <f t="shared" si="19"/>
        <v>4.10818342515995</v>
      </c>
      <c r="R76" s="1">
        <f t="shared" si="21"/>
        <v>0.1037026288319259</v>
      </c>
      <c r="T76" s="1">
        <f t="shared" si="20"/>
        <v>0.2500166978421297</v>
      </c>
    </row>
    <row r="77" spans="17:20" ht="13.5">
      <c r="Q77" s="22">
        <f t="shared" si="19"/>
        <v>4.621706353304944</v>
      </c>
      <c r="R77" s="1">
        <f t="shared" si="21"/>
        <v>0.0850894010751039</v>
      </c>
      <c r="T77" s="1">
        <f t="shared" si="20"/>
        <v>0.20168787463743787</v>
      </c>
    </row>
    <row r="78" spans="17:20" ht="13.5">
      <c r="Q78" s="22">
        <f t="shared" si="19"/>
        <v>5.135229281449938</v>
      </c>
      <c r="R78" s="1">
        <f t="shared" si="21"/>
        <v>0.06938405310867324</v>
      </c>
      <c r="T78" s="1">
        <f t="shared" si="20"/>
        <v>0.162158595952606</v>
      </c>
    </row>
    <row r="79" spans="17:20" ht="13.5">
      <c r="Q79" s="22">
        <f t="shared" si="19"/>
        <v>5.648752209594932</v>
      </c>
      <c r="R79" s="1">
        <f t="shared" si="21"/>
        <v>0.05629353844653072</v>
      </c>
      <c r="T79" s="1">
        <f t="shared" si="20"/>
        <v>0.13000739097988456</v>
      </c>
    </row>
    <row r="80" spans="17:20" ht="13.5">
      <c r="Q80" s="22">
        <f t="shared" si="19"/>
        <v>6.162275137739925</v>
      </c>
      <c r="R80" s="1">
        <f t="shared" si="21"/>
        <v>0.0454834067189272</v>
      </c>
      <c r="T80" s="1">
        <f t="shared" si="20"/>
        <v>0.10397662429657803</v>
      </c>
    </row>
    <row r="81" spans="17:20" ht="13.5">
      <c r="Q81" s="22">
        <f t="shared" si="19"/>
        <v>6.675798065884919</v>
      </c>
      <c r="R81" s="1">
        <f t="shared" si="21"/>
        <v>0.03662120459224824</v>
      </c>
      <c r="T81" s="1">
        <f t="shared" si="20"/>
        <v>0.08298140482027722</v>
      </c>
    </row>
    <row r="82" spans="17:20" ht="13.5">
      <c r="Q82" s="22">
        <f t="shared" si="19"/>
        <v>7.189320994029913</v>
      </c>
      <c r="R82" s="1">
        <f t="shared" si="21"/>
        <v>0.029398300043229127</v>
      </c>
      <c r="T82" s="1">
        <f t="shared" si="20"/>
        <v>0.06610212399475922</v>
      </c>
    </row>
    <row r="83" spans="17:20" ht="13.5">
      <c r="Q83" s="22">
        <f t="shared" si="19"/>
        <v>7.702843922174907</v>
      </c>
      <c r="R83" s="1">
        <f t="shared" si="21"/>
        <v>0.02353966107830219</v>
      </c>
      <c r="T83" s="1">
        <f t="shared" si="20"/>
        <v>0.05256930926589423</v>
      </c>
    </row>
    <row r="84" spans="17:20" ht="13.5">
      <c r="Q84" s="22">
        <f t="shared" si="19"/>
        <v>8.2163668503199</v>
      </c>
      <c r="R84" s="1">
        <f t="shared" si="21"/>
        <v>0.018806575663077696</v>
      </c>
      <c r="T84" s="1">
        <f t="shared" si="20"/>
        <v>0.041745425211383136</v>
      </c>
    </row>
    <row r="85" spans="17:20" ht="13.5">
      <c r="Q85" s="22">
        <f t="shared" si="19"/>
        <v>8.729889778464894</v>
      </c>
      <c r="R85" s="1">
        <f t="shared" si="21"/>
        <v>0.014995774611609275</v>
      </c>
      <c r="T85" s="1">
        <f t="shared" si="20"/>
        <v>0.033106303745589635</v>
      </c>
    </row>
    <row r="86" spans="17:20" ht="13.5">
      <c r="Q86" s="22">
        <f t="shared" si="19"/>
        <v>9.243412706609888</v>
      </c>
      <c r="R86" s="1">
        <f t="shared" si="21"/>
        <v>0.011936440587142298</v>
      </c>
      <c r="T86" s="1">
        <f t="shared" si="20"/>
        <v>0.026223672528923814</v>
      </c>
    </row>
    <row r="87" spans="17:20" ht="13.5">
      <c r="Q87" s="22">
        <f t="shared" si="19"/>
        <v>9.756935634754882</v>
      </c>
      <c r="R87" s="1">
        <f t="shared" si="21"/>
        <v>0.0094865666791569</v>
      </c>
      <c r="T87" s="1">
        <f t="shared" si="20"/>
        <v>0.020749390491969163</v>
      </c>
    </row>
    <row r="88" spans="17:20" ht="13.5">
      <c r="Q88" s="22">
        <f t="shared" si="19"/>
        <v>10.270458562899876</v>
      </c>
      <c r="R88" s="1">
        <f t="shared" si="21"/>
        <v>0.00752905623702636</v>
      </c>
      <c r="T88" s="1">
        <f t="shared" si="20"/>
        <v>0.016401658856735887</v>
      </c>
    </row>
    <row r="89" spans="17:20" ht="13.5">
      <c r="Q89" s="22">
        <f t="shared" si="19"/>
        <v>10.78398149104487</v>
      </c>
      <c r="R89" s="1">
        <f t="shared" si="21"/>
        <v>0.005967990228173032</v>
      </c>
      <c r="T89" s="1">
        <f t="shared" si="20"/>
        <v>0.0129531997894396</v>
      </c>
    </row>
    <row r="90" spans="17:20" ht="13.5">
      <c r="Q90" s="22">
        <f t="shared" si="19"/>
        <v>11.297504419189863</v>
      </c>
      <c r="R90" s="1">
        <f t="shared" si="21"/>
        <v>0.004725224667789161</v>
      </c>
      <c r="T90" s="1">
        <f t="shared" si="20"/>
        <v>0.010221275048376196</v>
      </c>
    </row>
    <row r="91" spans="17:20" ht="13.5">
      <c r="Q91" s="22">
        <f t="shared" si="19"/>
        <v>11.811027347334857</v>
      </c>
      <c r="R91" s="1">
        <f t="shared" si="21"/>
        <v>0.0037373817019697646</v>
      </c>
      <c r="T91" s="1">
        <f t="shared" si="20"/>
        <v>0.00805934749856714</v>
      </c>
    </row>
    <row r="92" spans="17:20" ht="13.5">
      <c r="Q92" s="22">
        <f>Q91+T$64/25</f>
        <v>12.32455027547985</v>
      </c>
      <c r="R92" s="1">
        <f t="shared" si="21"/>
        <v>0.0029532577663165943</v>
      </c>
      <c r="T92" s="1">
        <f t="shared" si="20"/>
        <v>0.006350185388034937</v>
      </c>
    </row>
    <row r="93" spans="17:20" ht="13.5">
      <c r="Q93" s="22">
        <f>Q92+T$64/25</f>
        <v>12.838073203624845</v>
      </c>
      <c r="R93" s="1">
        <f t="shared" si="21"/>
        <v>0.002331619853587988</v>
      </c>
      <c r="T93" s="1">
        <f t="shared" si="20"/>
        <v>0.005000193970035991</v>
      </c>
    </row>
    <row r="94" spans="17:20" ht="13.5">
      <c r="Q94" s="24">
        <f>CHIINV(R65,R64)</f>
        <v>7.814724702900899</v>
      </c>
      <c r="R94" s="39"/>
      <c r="S94" s="12">
        <f>(CHIDIST(Q94-$T$65,$R$64)-CHIDIST(Q94+$T$65,$R$64))/(2*$T$65)*2</f>
        <v>0.04484023834724635</v>
      </c>
      <c r="T94" s="39"/>
    </row>
    <row r="95" spans="17:20" ht="13.5">
      <c r="Q95" s="25">
        <f>Q94</f>
        <v>7.814724702900899</v>
      </c>
      <c r="R95" s="15"/>
      <c r="S95" s="40">
        <v>0</v>
      </c>
      <c r="T95" s="40"/>
    </row>
  </sheetData>
  <mergeCells count="8">
    <mergeCell ref="D2:F2"/>
    <mergeCell ref="R43:T43"/>
    <mergeCell ref="Y43:AA43"/>
    <mergeCell ref="Y3:AA3"/>
    <mergeCell ref="R3:T3"/>
    <mergeCell ref="R23:T23"/>
    <mergeCell ref="Y23:AA23"/>
    <mergeCell ref="D13:F13"/>
  </mergeCells>
  <printOptions/>
  <pageMargins left="0.75" right="0.75" top="1" bottom="1" header="0.512" footer="0.512"/>
  <pageSetup orientation="portrait" paperSize="9" scale="90"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V77"/>
  <sheetViews>
    <sheetView zoomScale="75" zoomScaleNormal="75" workbookViewId="0" topLeftCell="A1">
      <selection activeCell="A1" sqref="A1:B1"/>
    </sheetView>
  </sheetViews>
  <sheetFormatPr defaultColWidth="8.796875" defaultRowHeight="14.25"/>
  <cols>
    <col min="1" max="1" width="5" style="0" customWidth="1"/>
    <col min="2" max="3" width="6.59765625" style="0" customWidth="1"/>
    <col min="5" max="6" width="8" style="0" customWidth="1"/>
    <col min="7" max="7" width="11.8984375" style="0" customWidth="1"/>
    <col min="8" max="8" width="11.3984375" style="0" customWidth="1"/>
    <col min="9" max="10" width="7.3984375" style="0" customWidth="1"/>
    <col min="11" max="13" width="6.5" style="0" customWidth="1"/>
    <col min="14" max="14" width="7.5" style="0" customWidth="1"/>
    <col min="15" max="15" width="7.19921875" style="0" customWidth="1"/>
    <col min="16" max="16" width="59.59765625" style="0" customWidth="1"/>
    <col min="17" max="17" width="9.8984375" style="0" customWidth="1"/>
  </cols>
  <sheetData>
    <row r="1" spans="1:22" ht="13.5">
      <c r="A1" t="s">
        <v>233</v>
      </c>
      <c r="B1" s="40" t="s">
        <v>420</v>
      </c>
      <c r="C1" s="40"/>
      <c r="R1" t="s">
        <v>26</v>
      </c>
      <c r="V1" t="s">
        <v>27</v>
      </c>
    </row>
    <row r="2" spans="1:15" ht="13.5">
      <c r="A2" s="39"/>
      <c r="B2" s="39"/>
      <c r="C2" s="5"/>
      <c r="D2" s="159" t="s">
        <v>30</v>
      </c>
      <c r="E2" s="159"/>
      <c r="F2" s="159"/>
      <c r="J2" t="s">
        <v>46</v>
      </c>
      <c r="O2" t="s">
        <v>48</v>
      </c>
    </row>
    <row r="3" spans="1:19" ht="13.5">
      <c r="A3" s="4" t="s">
        <v>2</v>
      </c>
      <c r="B3" s="4" t="s">
        <v>0</v>
      </c>
      <c r="C3" s="6" t="s">
        <v>184</v>
      </c>
      <c r="D3" s="42" t="s">
        <v>33</v>
      </c>
      <c r="E3" s="42" t="s">
        <v>34</v>
      </c>
      <c r="F3" s="42" t="s">
        <v>29</v>
      </c>
      <c r="O3" t="s">
        <v>49</v>
      </c>
      <c r="R3" s="3" t="s">
        <v>18</v>
      </c>
      <c r="S3">
        <v>0.05</v>
      </c>
    </row>
    <row r="4" spans="1:21" ht="13.5">
      <c r="A4" s="39">
        <v>9</v>
      </c>
      <c r="B4" s="39">
        <v>0.05</v>
      </c>
      <c r="C4" s="39">
        <v>0.6</v>
      </c>
      <c r="D4" s="55">
        <f>NTDIST(TINV(B4*2,A4-1),A4-1,C4*SQRT(A4))</f>
        <v>0.5003933986108132</v>
      </c>
      <c r="E4" s="58">
        <f>NTDIST(TINV(B4*2,A4-1),A4-1,-C4*SQRT(A4))</f>
        <v>0.00046937063166330173</v>
      </c>
      <c r="F4" s="58">
        <f>NTDIST(TINV(B4,A4-1),A4-1,C4*SQRT(A4))+NTDIST(TINV(B4,A4-1),A4-1,-C4*SQRT(A4))</f>
        <v>0.35439587887250656</v>
      </c>
      <c r="H4" t="s">
        <v>107</v>
      </c>
      <c r="J4" t="s">
        <v>42</v>
      </c>
      <c r="K4">
        <v>10</v>
      </c>
      <c r="L4" s="76" t="s">
        <v>125</v>
      </c>
      <c r="M4" s="76"/>
      <c r="N4" s="76"/>
      <c r="R4" s="21" t="s">
        <v>52</v>
      </c>
      <c r="S4" s="160" t="s">
        <v>19</v>
      </c>
      <c r="T4" s="159"/>
      <c r="U4" s="159"/>
    </row>
    <row r="5" spans="1:21" ht="13.5">
      <c r="A5" s="30">
        <v>9</v>
      </c>
      <c r="B5" s="30">
        <v>0.05</v>
      </c>
      <c r="C5" s="30">
        <v>-0.6</v>
      </c>
      <c r="D5" s="59">
        <f>NTDIST(TINV(B5*2,A5-1),A5-1,C5*SQRT(A5))</f>
        <v>0.00046937063166330173</v>
      </c>
      <c r="E5" s="56">
        <f>NTDIST(TINV(B5*2,A5-1),A5-1,-C5*SQRT(A5))</f>
        <v>0.5003933986108132</v>
      </c>
      <c r="F5" s="59">
        <f>NTDIST(TINV(B5,A5-1),A5-1,C5*SQRT(A5))+NTDIST(TINV(B5,A5-1),A5-1,-C5*SQRT(A5))</f>
        <v>0.35439587887250656</v>
      </c>
      <c r="H5" t="s">
        <v>108</v>
      </c>
      <c r="J5" s="9"/>
      <c r="K5" s="34" t="s">
        <v>47</v>
      </c>
      <c r="L5" s="38">
        <v>1</v>
      </c>
      <c r="M5" s="38">
        <v>2</v>
      </c>
      <c r="N5" s="38">
        <v>3</v>
      </c>
      <c r="O5" s="38">
        <v>4</v>
      </c>
      <c r="R5" s="16"/>
      <c r="S5" s="4">
        <v>9</v>
      </c>
      <c r="T5" s="4">
        <v>16</v>
      </c>
      <c r="U5" s="4">
        <v>25</v>
      </c>
    </row>
    <row r="6" spans="1:21" ht="13.5">
      <c r="A6" s="40">
        <v>9</v>
      </c>
      <c r="B6" s="40">
        <v>0.05</v>
      </c>
      <c r="C6" s="40">
        <v>0.6</v>
      </c>
      <c r="D6" s="60">
        <f>NTDIST(TINV(B6*2,A6-1),A6-1,C6*SQRT(A6))</f>
        <v>0.5003933986108132</v>
      </c>
      <c r="E6" s="60">
        <f>NTDIST(TINV(B6*2,A6-1),A6-1,-C6*SQRT(A6))</f>
        <v>0.00046937063166330173</v>
      </c>
      <c r="F6" s="57">
        <f>NTDIST(TINV(B6,A6-1),A6-1,C6*SQRT(A6))+NTDIST(TINV(B6,A6-1),A6-1,-C6*SQRT(A6))</f>
        <v>0.35439587887250656</v>
      </c>
      <c r="H6" t="s">
        <v>106</v>
      </c>
      <c r="J6" s="11">
        <v>-4</v>
      </c>
      <c r="K6" s="24">
        <f aca="true" t="shared" si="0" ref="K6:K30">(TTDIST($J6-0.01,$K$4)-TTDIST($J6+0.01,$K$4))/0.02</f>
        <v>0.0020311341422663</v>
      </c>
      <c r="L6" s="12">
        <f aca="true" t="shared" si="1" ref="L6:O7">NTDIST($J6,$K$4,L$5,1)</f>
        <v>0.00011182786320465677</v>
      </c>
      <c r="M6" s="12">
        <f t="shared" si="1"/>
        <v>2.9503217064584287E-06</v>
      </c>
      <c r="N6" s="12">
        <f t="shared" si="1"/>
        <v>3.233090538058203E-08</v>
      </c>
      <c r="O6" s="12">
        <f t="shared" si="1"/>
        <v>1.9659892265362688E-08</v>
      </c>
      <c r="R6" s="7">
        <v>-1</v>
      </c>
      <c r="S6" s="13">
        <f aca="true" t="shared" si="2" ref="S6:U16">NTDIST(TINV($S$21,S$23-1),S$23-1,$R6*SQRT(S$23))+NTDIST(TINV($S$21,S$23-1),S$23-1,-$R6*SQRT(S$23))</f>
        <v>0.7480166620607498</v>
      </c>
      <c r="T6" s="13">
        <f t="shared" si="2"/>
        <v>0.9618849955765871</v>
      </c>
      <c r="U6" s="13">
        <f t="shared" si="2"/>
        <v>0.9976845989280632</v>
      </c>
    </row>
    <row r="7" spans="10:21" ht="13.5">
      <c r="J7" s="23">
        <v>-3.5</v>
      </c>
      <c r="K7" s="22">
        <f t="shared" si="0"/>
        <v>0.004783849816841768</v>
      </c>
      <c r="L7" s="13">
        <f t="shared" si="1"/>
        <v>0.000297798191557658</v>
      </c>
      <c r="M7" s="13">
        <f t="shared" si="1"/>
        <v>8.657134341141032E-06</v>
      </c>
      <c r="N7" s="13">
        <f t="shared" si="1"/>
        <v>1.0169270276256316E-07</v>
      </c>
      <c r="O7" s="13">
        <f t="shared" si="1"/>
        <v>2.059279258000069E-08</v>
      </c>
      <c r="R7" s="8">
        <v>-0.8</v>
      </c>
      <c r="S7" s="13">
        <f t="shared" si="2"/>
        <v>0.5590956224265113</v>
      </c>
      <c r="T7" s="13">
        <f t="shared" si="2"/>
        <v>0.8484215140133131</v>
      </c>
      <c r="U7" s="13">
        <f t="shared" si="2"/>
        <v>0.9696310808530209</v>
      </c>
    </row>
    <row r="8" spans="1:21" ht="13.5">
      <c r="A8" t="s">
        <v>35</v>
      </c>
      <c r="B8" s="35" t="s">
        <v>39</v>
      </c>
      <c r="J8" s="23">
        <v>-3</v>
      </c>
      <c r="K8" s="22">
        <f t="shared" si="0"/>
        <v>0.01140111669663546</v>
      </c>
      <c r="L8" s="13">
        <f aca="true" t="shared" si="3" ref="L8:O30">NTDIST($J8,$K$4,L$5,1)</f>
        <v>0.0008300130435976988</v>
      </c>
      <c r="M8" s="13">
        <f t="shared" si="3"/>
        <v>2.7345039548215685E-05</v>
      </c>
      <c r="N8" s="13">
        <f t="shared" si="3"/>
        <v>3.7607068625163687E-07</v>
      </c>
      <c r="O8" s="13">
        <f t="shared" si="3"/>
        <v>1.576606170659505E-08</v>
      </c>
      <c r="R8" s="7">
        <v>-0.6</v>
      </c>
      <c r="S8" s="13">
        <f t="shared" si="2"/>
        <v>0.35439587887250656</v>
      </c>
      <c r="T8" s="13">
        <f t="shared" si="2"/>
        <v>0.6120962577775102</v>
      </c>
      <c r="U8" s="13">
        <f t="shared" si="2"/>
        <v>0.820722022499234</v>
      </c>
    </row>
    <row r="9" spans="1:21" ht="13.5">
      <c r="A9" t="s">
        <v>36</v>
      </c>
      <c r="B9" s="35" t="s">
        <v>38</v>
      </c>
      <c r="J9" s="23">
        <v>-2.5</v>
      </c>
      <c r="K9" s="22">
        <f t="shared" si="0"/>
        <v>0.026939942992110222</v>
      </c>
      <c r="L9" s="13">
        <f t="shared" si="3"/>
        <v>0.002395693195268864</v>
      </c>
      <c r="M9" s="13">
        <f t="shared" si="3"/>
        <v>9.289276976036278E-05</v>
      </c>
      <c r="N9" s="13">
        <f t="shared" si="3"/>
        <v>1.5225675834352075E-06</v>
      </c>
      <c r="O9" s="13">
        <f t="shared" si="3"/>
        <v>1.2404342182532142E-08</v>
      </c>
      <c r="R9" s="8">
        <v>-0.4</v>
      </c>
      <c r="S9" s="13">
        <f t="shared" si="2"/>
        <v>0.18539108497981505</v>
      </c>
      <c r="T9" s="13">
        <f t="shared" si="2"/>
        <v>0.32236972915282314</v>
      </c>
      <c r="U9" s="13">
        <f t="shared" si="2"/>
        <v>0.4840184410478108</v>
      </c>
    </row>
    <row r="10" spans="1:21" ht="13.5">
      <c r="A10" t="s">
        <v>37</v>
      </c>
      <c r="B10" s="35" t="s">
        <v>40</v>
      </c>
      <c r="J10" s="23">
        <v>-2</v>
      </c>
      <c r="K10" s="22">
        <f t="shared" si="0"/>
        <v>0.06114793716160971</v>
      </c>
      <c r="L10" s="13">
        <f t="shared" si="3"/>
        <v>0.007014793244086874</v>
      </c>
      <c r="M10" s="13">
        <f t="shared" si="3"/>
        <v>0.0003364498614574199</v>
      </c>
      <c r="N10" s="13">
        <f t="shared" si="3"/>
        <v>6.669567310306073E-06</v>
      </c>
      <c r="O10" s="13">
        <f t="shared" si="3"/>
        <v>4.984441090296787E-08</v>
      </c>
      <c r="R10" s="7">
        <v>-0.2</v>
      </c>
      <c r="S10" s="13">
        <f t="shared" si="2"/>
        <v>0.08291621786571146</v>
      </c>
      <c r="T10" s="13">
        <f t="shared" si="2"/>
        <v>0.11647664437248073</v>
      </c>
      <c r="U10" s="13">
        <f t="shared" si="2"/>
        <v>0.1605042479952441</v>
      </c>
    </row>
    <row r="11" spans="2:21" ht="13.5">
      <c r="B11" s="35" t="s">
        <v>41</v>
      </c>
      <c r="J11" s="23">
        <v>-1.5</v>
      </c>
      <c r="K11" s="22">
        <f t="shared" si="0"/>
        <v>0.1274474411446902</v>
      </c>
      <c r="L11" s="13">
        <f t="shared" si="3"/>
        <v>0.020125675859852154</v>
      </c>
      <c r="M11" s="13">
        <f t="shared" si="3"/>
        <v>0.0012712006793577464</v>
      </c>
      <c r="N11" s="13">
        <f t="shared" si="3"/>
        <v>3.1937887514598905E-05</v>
      </c>
      <c r="O11" s="13">
        <f t="shared" si="3"/>
        <v>3.162388620933181E-07</v>
      </c>
      <c r="R11" s="9">
        <v>0</v>
      </c>
      <c r="S11" s="10">
        <f t="shared" si="2"/>
        <v>0.04999988345688573</v>
      </c>
      <c r="T11" s="10">
        <f t="shared" si="2"/>
        <v>0.049999875229393094</v>
      </c>
      <c r="U11" s="10">
        <f t="shared" si="2"/>
        <v>0.050000042049308364</v>
      </c>
    </row>
    <row r="12" spans="10:21" ht="13.5">
      <c r="J12" s="23">
        <v>-1</v>
      </c>
      <c r="K12" s="22">
        <f t="shared" si="0"/>
        <v>0.2303626868566</v>
      </c>
      <c r="L12" s="13">
        <f t="shared" si="3"/>
        <v>0.053727864495947956</v>
      </c>
      <c r="M12" s="13">
        <f t="shared" si="3"/>
        <v>0.004809010855506995</v>
      </c>
      <c r="N12" s="13">
        <f t="shared" si="3"/>
        <v>0.00016484667751293214</v>
      </c>
      <c r="O12" s="13">
        <f t="shared" si="3"/>
        <v>2.1600942003191273E-06</v>
      </c>
      <c r="R12" s="11">
        <v>0.2</v>
      </c>
      <c r="S12" s="12">
        <f t="shared" si="2"/>
        <v>0.08291621786571146</v>
      </c>
      <c r="T12" s="12">
        <f t="shared" si="2"/>
        <v>0.11647664437248073</v>
      </c>
      <c r="U12" s="12">
        <f t="shared" si="2"/>
        <v>0.1605042479952441</v>
      </c>
    </row>
    <row r="13" spans="1:21" ht="13.5">
      <c r="A13" s="39"/>
      <c r="B13" s="39"/>
      <c r="C13" s="5"/>
      <c r="D13" s="159" t="s">
        <v>30</v>
      </c>
      <c r="E13" s="159"/>
      <c r="F13" s="159"/>
      <c r="J13" s="23">
        <v>-0.5</v>
      </c>
      <c r="K13" s="22">
        <f t="shared" si="0"/>
        <v>0.3396909870046927</v>
      </c>
      <c r="L13" s="13">
        <f t="shared" si="3"/>
        <v>0.12491165208651131</v>
      </c>
      <c r="M13" s="13">
        <f t="shared" si="3"/>
        <v>0.017094894576140933</v>
      </c>
      <c r="N13" s="13">
        <f t="shared" si="3"/>
        <v>0.0008704681898150567</v>
      </c>
      <c r="O13" s="13">
        <f t="shared" si="3"/>
        <v>1.648678452804678E-05</v>
      </c>
      <c r="R13" s="8">
        <v>0.4</v>
      </c>
      <c r="S13" s="13">
        <f t="shared" si="2"/>
        <v>0.18539108497981505</v>
      </c>
      <c r="T13" s="13">
        <f t="shared" si="2"/>
        <v>0.32236972915282314</v>
      </c>
      <c r="U13" s="13">
        <f t="shared" si="2"/>
        <v>0.4840184410478108</v>
      </c>
    </row>
    <row r="14" spans="1:21" ht="13.5">
      <c r="A14" s="19" t="s">
        <v>2</v>
      </c>
      <c r="B14" s="19" t="s">
        <v>0</v>
      </c>
      <c r="C14" s="31" t="s">
        <v>193</v>
      </c>
      <c r="D14" s="42" t="s">
        <v>33</v>
      </c>
      <c r="E14" s="42" t="s">
        <v>34</v>
      </c>
      <c r="F14" s="42" t="s">
        <v>29</v>
      </c>
      <c r="J14" s="23">
        <v>0</v>
      </c>
      <c r="K14" s="22">
        <f t="shared" si="0"/>
        <v>0.3891012504221275</v>
      </c>
      <c r="L14" s="13">
        <f t="shared" si="3"/>
        <v>0.23624813573253056</v>
      </c>
      <c r="M14" s="13">
        <f t="shared" si="3"/>
        <v>0.0527681623440602</v>
      </c>
      <c r="N14" s="13">
        <f t="shared" si="3"/>
        <v>0.004335918290041583</v>
      </c>
      <c r="O14" s="13">
        <f t="shared" si="3"/>
        <v>0.0001310677209809151</v>
      </c>
      <c r="R14" s="7">
        <v>0.6</v>
      </c>
      <c r="S14" s="13">
        <f t="shared" si="2"/>
        <v>0.35439587887250656</v>
      </c>
      <c r="T14" s="13">
        <f t="shared" si="2"/>
        <v>0.6120962577775102</v>
      </c>
      <c r="U14" s="13">
        <f t="shared" si="2"/>
        <v>0.820722022499234</v>
      </c>
    </row>
    <row r="15" spans="1:21" ht="14.25">
      <c r="A15" s="39">
        <v>45</v>
      </c>
      <c r="B15" s="39">
        <v>0.05</v>
      </c>
      <c r="C15" s="5">
        <v>0.5</v>
      </c>
      <c r="D15" s="55">
        <f>NTDIST(TINV(B15*2,A15-1),A15-1,C15*SQRT(A15))</f>
        <v>0.9512399779998455</v>
      </c>
      <c r="E15" s="58">
        <f>NTDIST(TINV(B15*2,A15-1),A15-1,-C15*SQRT(A15))</f>
        <v>4.3093848778319455E-07</v>
      </c>
      <c r="F15" s="58">
        <f>NTDIST(TINV(B15,A15-1),A15-1,C15*SQRT(A15))+NTDIST(TINV(B15,A15-1),A15-1,-C15*SQRT(A15))</f>
        <v>0.9065953166476086</v>
      </c>
      <c r="G15" s="44"/>
      <c r="H15" t="s">
        <v>109</v>
      </c>
      <c r="J15" s="23">
        <v>0.5</v>
      </c>
      <c r="K15" s="22">
        <f t="shared" si="0"/>
        <v>0.3396909870046927</v>
      </c>
      <c r="L15" s="13">
        <f t="shared" si="3"/>
        <v>0.3439157368661411</v>
      </c>
      <c r="M15" s="13">
        <f t="shared" si="3"/>
        <v>0.12966366752353256</v>
      </c>
      <c r="N15" s="13">
        <f t="shared" si="3"/>
        <v>0.018210238692574775</v>
      </c>
      <c r="O15" s="13">
        <f t="shared" si="3"/>
        <v>0.0009529528773534179</v>
      </c>
      <c r="R15" s="8">
        <v>0.8</v>
      </c>
      <c r="S15" s="13">
        <f t="shared" si="2"/>
        <v>0.5590956224265113</v>
      </c>
      <c r="T15" s="13">
        <f t="shared" si="2"/>
        <v>0.8484215140133131</v>
      </c>
      <c r="U15" s="13">
        <f t="shared" si="2"/>
        <v>0.9696310808530209</v>
      </c>
    </row>
    <row r="16" spans="1:21" ht="14.25">
      <c r="A16" s="30">
        <v>27</v>
      </c>
      <c r="B16" s="30">
        <v>0.05</v>
      </c>
      <c r="C16" s="8">
        <v>-0.5</v>
      </c>
      <c r="D16" s="59">
        <f>NTDIST(TINV(B16*2,A16-1),A16-1,C16*SQRT(A16))</f>
        <v>1.4747687300475931E-05</v>
      </c>
      <c r="E16" s="56">
        <f>NTDIST(TINV(B16*2,A16-1),A16-1,-C16*SQRT(A16))</f>
        <v>0.811831929028701</v>
      </c>
      <c r="F16" s="59">
        <f>NTDIST(TINV(B16,A16-1),A16-1,C16*SQRT(A16))+NTDIST(TINV(B16,A16-1),A16-1,-C16*SQRT(A16))</f>
        <v>0.7058234952002722</v>
      </c>
      <c r="G16" s="44"/>
      <c r="H16" t="s">
        <v>110</v>
      </c>
      <c r="J16" s="23">
        <v>1</v>
      </c>
      <c r="K16" s="22">
        <f t="shared" si="0"/>
        <v>0.23036268685659722</v>
      </c>
      <c r="L16" s="13">
        <f t="shared" si="3"/>
        <v>0.3798404980773074</v>
      </c>
      <c r="M16" s="13">
        <f t="shared" si="3"/>
        <v>0.2413718808810214</v>
      </c>
      <c r="N16" s="13">
        <f t="shared" si="3"/>
        <v>0.05923560889037037</v>
      </c>
      <c r="O16" s="13">
        <f t="shared" si="3"/>
        <v>0.0056260040030728185</v>
      </c>
      <c r="R16" s="14">
        <v>1</v>
      </c>
      <c r="S16" s="15">
        <f t="shared" si="2"/>
        <v>0.7480166620607498</v>
      </c>
      <c r="T16" s="15">
        <f t="shared" si="2"/>
        <v>0.9618849955765871</v>
      </c>
      <c r="U16" s="15">
        <f t="shared" si="2"/>
        <v>0.9976845989280632</v>
      </c>
    </row>
    <row r="17" spans="1:15" ht="14.25">
      <c r="A17" s="40">
        <v>13</v>
      </c>
      <c r="B17" s="40">
        <v>0.05</v>
      </c>
      <c r="C17" s="14">
        <v>1</v>
      </c>
      <c r="D17" s="60">
        <f>NTDIST(TINV(B17*2,A17-1),A17-1,C17*SQRT(A17))</f>
        <v>0.9597031968370877</v>
      </c>
      <c r="E17" s="60">
        <f>NTDIST(TINV(B17*2,A17-1),A17-1,-C17*SQRT(A17))</f>
        <v>2.3745674937458716E-07</v>
      </c>
      <c r="F17" s="57">
        <f>NTDIST(TINV(B17,A17-1),A17-1,C17*SQRT(A17))+NTDIST(TINV(B17,A17-1),A17-1,-C17*SQRT(A17))</f>
        <v>0.9107084817110316</v>
      </c>
      <c r="G17" s="44"/>
      <c r="H17" t="s">
        <v>111</v>
      </c>
      <c r="J17" s="23">
        <v>1.5</v>
      </c>
      <c r="K17" s="22">
        <f t="shared" si="0"/>
        <v>0.1274474411446902</v>
      </c>
      <c r="L17" s="13">
        <f t="shared" si="3"/>
        <v>0.32474375667330796</v>
      </c>
      <c r="M17" s="13">
        <f t="shared" si="3"/>
        <v>0.334993171229831</v>
      </c>
      <c r="N17" s="13">
        <f t="shared" si="3"/>
        <v>0.14074313563620736</v>
      </c>
      <c r="O17" s="13">
        <f t="shared" si="3"/>
        <v>0.024226536549104463</v>
      </c>
    </row>
    <row r="18" spans="10:15" ht="14.25">
      <c r="J18" s="23">
        <v>2</v>
      </c>
      <c r="K18" s="22">
        <f t="shared" si="0"/>
        <v>0.061147937161607976</v>
      </c>
      <c r="L18" s="13">
        <f t="shared" si="3"/>
        <v>0.22542405221091716</v>
      </c>
      <c r="M18" s="13">
        <f t="shared" si="3"/>
        <v>0.3556436193397157</v>
      </c>
      <c r="N18" s="13">
        <f t="shared" si="3"/>
        <v>0.24292118779650504</v>
      </c>
      <c r="O18" s="13">
        <f t="shared" si="3"/>
        <v>0.0726546538879753</v>
      </c>
    </row>
    <row r="19" spans="10:22" ht="13.5">
      <c r="J19" s="23">
        <v>2.5</v>
      </c>
      <c r="K19" s="22">
        <f t="shared" si="0"/>
        <v>0.02693994299210866</v>
      </c>
      <c r="L19" s="13">
        <f t="shared" si="3"/>
        <v>0.13445454029749987</v>
      </c>
      <c r="M19" s="13">
        <f t="shared" si="3"/>
        <v>0.3033779596468441</v>
      </c>
      <c r="N19" s="13">
        <f t="shared" si="3"/>
        <v>0.3151019362426323</v>
      </c>
      <c r="O19" s="13">
        <f t="shared" si="3"/>
        <v>0.15329012180151153</v>
      </c>
      <c r="R19" t="s">
        <v>25</v>
      </c>
      <c r="V19" t="s">
        <v>24</v>
      </c>
    </row>
    <row r="20" spans="10:15" ht="13.5">
      <c r="J20" s="23">
        <v>3</v>
      </c>
      <c r="K20" s="22">
        <f t="shared" si="0"/>
        <v>0.011401116696633596</v>
      </c>
      <c r="L20" s="13">
        <f t="shared" si="3"/>
        <v>0.07259475609877493</v>
      </c>
      <c r="M20" s="13">
        <f t="shared" si="3"/>
        <v>0.21973098960630152</v>
      </c>
      <c r="N20" s="13">
        <f t="shared" si="3"/>
        <v>0.3240045180717979</v>
      </c>
      <c r="O20" s="13">
        <f t="shared" si="3"/>
        <v>0.23824364641109072</v>
      </c>
    </row>
    <row r="21" spans="1:19" ht="13.5">
      <c r="A21" s="37"/>
      <c r="B21" s="30"/>
      <c r="C21" s="23"/>
      <c r="D21" s="13"/>
      <c r="E21" s="13"/>
      <c r="F21" s="30"/>
      <c r="J21" s="23">
        <v>3.5</v>
      </c>
      <c r="K21" s="22">
        <f t="shared" si="0"/>
        <v>0.004783849816842483</v>
      </c>
      <c r="L21" s="13">
        <f t="shared" si="3"/>
        <v>0.03698531523068917</v>
      </c>
      <c r="M21" s="13">
        <f t="shared" si="3"/>
        <v>0.1420207872259637</v>
      </c>
      <c r="N21" s="13">
        <f t="shared" si="3"/>
        <v>0.27926973555850837</v>
      </c>
      <c r="O21" s="13">
        <f t="shared" si="3"/>
        <v>0.2894476896281674</v>
      </c>
      <c r="R21" s="3" t="s">
        <v>18</v>
      </c>
      <c r="S21">
        <v>0.05</v>
      </c>
    </row>
    <row r="22" spans="10:21" ht="13.5">
      <c r="J22" s="23">
        <v>4</v>
      </c>
      <c r="K22" s="22">
        <f t="shared" si="0"/>
        <v>0.002031134142267395</v>
      </c>
      <c r="L22" s="13">
        <f t="shared" si="3"/>
        <v>0.01832613741465352</v>
      </c>
      <c r="M22" s="13">
        <f t="shared" si="3"/>
        <v>0.08524752107733677</v>
      </c>
      <c r="N22" s="13">
        <f t="shared" si="3"/>
        <v>0.21193393149281367</v>
      </c>
      <c r="O22" s="13">
        <f t="shared" si="3"/>
        <v>0.29124142268254727</v>
      </c>
      <c r="R22" s="21" t="s">
        <v>52</v>
      </c>
      <c r="S22" s="159" t="s">
        <v>19</v>
      </c>
      <c r="T22" s="159"/>
      <c r="U22" s="159"/>
    </row>
    <row r="23" spans="10:21" ht="13.5">
      <c r="J23" s="23">
        <v>4.5</v>
      </c>
      <c r="K23" s="22">
        <f t="shared" si="0"/>
        <v>0.0008832858569590219</v>
      </c>
      <c r="L23" s="13">
        <f t="shared" si="3"/>
        <v>0.009015729553893813</v>
      </c>
      <c r="M23" s="13">
        <f t="shared" si="3"/>
        <v>0.048954109895778114</v>
      </c>
      <c r="N23" s="13">
        <f t="shared" si="3"/>
        <v>0.1472785111282422</v>
      </c>
      <c r="O23" s="13">
        <f t="shared" si="3"/>
        <v>0.25496591812608194</v>
      </c>
      <c r="R23" s="16"/>
      <c r="S23" s="4">
        <v>9</v>
      </c>
      <c r="T23" s="4">
        <v>16</v>
      </c>
      <c r="U23" s="4">
        <v>25</v>
      </c>
    </row>
    <row r="24" spans="10:21" ht="13.5">
      <c r="J24" s="23">
        <v>5</v>
      </c>
      <c r="K24" s="22">
        <f t="shared" si="0"/>
        <v>0.0003960182435175212</v>
      </c>
      <c r="L24" s="13">
        <f t="shared" si="3"/>
        <v>0.004463368238067071</v>
      </c>
      <c r="M24" s="13">
        <f t="shared" si="3"/>
        <v>0.02747035594192453</v>
      </c>
      <c r="N24" s="13">
        <f t="shared" si="3"/>
        <v>0.09654828199422928</v>
      </c>
      <c r="O24" s="13">
        <f t="shared" si="3"/>
        <v>0.2019598174548382</v>
      </c>
      <c r="R24" s="7">
        <v>-1</v>
      </c>
      <c r="S24" s="13">
        <f aca="true" t="shared" si="4" ref="S24:U34">NTDIST(TINV($S$21*2,S$23-1),S$23-1,$R24*SQRT(S$23))</f>
        <v>4.858888668635153E-06</v>
      </c>
      <c r="T24" s="13">
        <f t="shared" si="4"/>
        <v>5.495740040828423E-08</v>
      </c>
      <c r="U24" s="13">
        <f t="shared" si="4"/>
        <v>5.012080750432801E-10</v>
      </c>
    </row>
    <row r="25" spans="10:21" ht="13.5">
      <c r="J25" s="23">
        <v>5.5</v>
      </c>
      <c r="K25" s="22">
        <f t="shared" si="0"/>
        <v>0.00018360122359993916</v>
      </c>
      <c r="L25" s="13">
        <f t="shared" si="3"/>
        <v>0.0022422870805520853</v>
      </c>
      <c r="M25" s="13">
        <f t="shared" si="3"/>
        <v>0.01528428883980899</v>
      </c>
      <c r="N25" s="13">
        <f t="shared" si="3"/>
        <v>0.06101727721167339</v>
      </c>
      <c r="O25" s="13">
        <f t="shared" si="3"/>
        <v>0.14913086534123052</v>
      </c>
      <c r="R25" s="7">
        <v>-0.8</v>
      </c>
      <c r="S25" s="13">
        <f t="shared" si="4"/>
        <v>5.518128664605548E-05</v>
      </c>
      <c r="T25" s="13">
        <f t="shared" si="4"/>
        <v>1.2990255670031203E-06</v>
      </c>
      <c r="U25" s="13">
        <f t="shared" si="4"/>
        <v>2.9227132936071598E-08</v>
      </c>
    </row>
    <row r="26" spans="10:21" ht="13.5">
      <c r="J26" s="23">
        <v>6</v>
      </c>
      <c r="K26" s="22">
        <f t="shared" si="0"/>
        <v>8.808833334374136E-05</v>
      </c>
      <c r="L26" s="13">
        <f t="shared" si="3"/>
        <v>0.001148735853511553</v>
      </c>
      <c r="M26" s="13">
        <f t="shared" si="3"/>
        <v>0.008515169241007656</v>
      </c>
      <c r="N26" s="13">
        <f t="shared" si="3"/>
        <v>0.03775885211484857</v>
      </c>
      <c r="O26" s="13">
        <f t="shared" si="3"/>
        <v>0.10496392821386007</v>
      </c>
      <c r="R26" s="7">
        <v>-0.6</v>
      </c>
      <c r="S26" s="13">
        <f t="shared" si="4"/>
        <v>0.00046937063166330173</v>
      </c>
      <c r="T26" s="13">
        <f t="shared" si="4"/>
        <v>4.007122902893734E-05</v>
      </c>
      <c r="U26" s="13">
        <f t="shared" si="4"/>
        <v>2.5747344521986903E-06</v>
      </c>
    </row>
    <row r="27" spans="2:21" ht="13.5">
      <c r="B27" s="36"/>
      <c r="D27" s="1"/>
      <c r="E27" s="1"/>
      <c r="F27" s="1"/>
      <c r="J27" s="23">
        <v>6.5</v>
      </c>
      <c r="K27" s="22">
        <f t="shared" si="0"/>
        <v>4.3712984788876115E-05</v>
      </c>
      <c r="L27" s="13">
        <f t="shared" si="3"/>
        <v>0.0006017129220693714</v>
      </c>
      <c r="M27" s="13">
        <f t="shared" si="3"/>
        <v>0.004780815755284614</v>
      </c>
      <c r="N27" s="13">
        <f t="shared" si="3"/>
        <v>0.023131593734515062</v>
      </c>
      <c r="O27" s="13">
        <f t="shared" si="3"/>
        <v>0.07157551885286213</v>
      </c>
      <c r="R27" s="7">
        <v>-0.4</v>
      </c>
      <c r="S27" s="13">
        <f t="shared" si="4"/>
        <v>0.0029630247883269956</v>
      </c>
      <c r="T27" s="13">
        <f t="shared" si="4"/>
        <v>0.0007456285413736108</v>
      </c>
      <c r="U27" s="13">
        <f t="shared" si="4"/>
        <v>0.00016496084882211548</v>
      </c>
    </row>
    <row r="28" spans="3:21" ht="13.5">
      <c r="C28" s="1"/>
      <c r="D28" s="1"/>
      <c r="E28" s="1"/>
      <c r="F28" s="1"/>
      <c r="J28" s="23">
        <v>7</v>
      </c>
      <c r="K28" s="22">
        <f t="shared" si="0"/>
        <v>2.240772391503884E-05</v>
      </c>
      <c r="L28" s="13">
        <f t="shared" si="3"/>
        <v>0.0003226213293636765</v>
      </c>
      <c r="M28" s="13">
        <f t="shared" si="3"/>
        <v>0.0027161023688072653</v>
      </c>
      <c r="N28" s="13">
        <f t="shared" si="3"/>
        <v>0.014136148927761999</v>
      </c>
      <c r="O28" s="13">
        <f t="shared" si="3"/>
        <v>0.047851314348106806</v>
      </c>
      <c r="R28" s="7">
        <v>-0.2</v>
      </c>
      <c r="S28" s="13">
        <f t="shared" si="4"/>
        <v>0.013996328226342003</v>
      </c>
      <c r="T28" s="13">
        <f t="shared" si="4"/>
        <v>0.007973828792611437</v>
      </c>
      <c r="U28" s="13">
        <f t="shared" si="4"/>
        <v>0.004430402868088601</v>
      </c>
    </row>
    <row r="29" spans="3:21" ht="13.5">
      <c r="C29" s="1"/>
      <c r="D29" s="1"/>
      <c r="E29" s="1"/>
      <c r="F29" s="1"/>
      <c r="J29" s="23">
        <v>7.5</v>
      </c>
      <c r="K29" s="22">
        <f t="shared" si="0"/>
        <v>1.1845688208003771E-05</v>
      </c>
      <c r="L29" s="13">
        <f t="shared" si="3"/>
        <v>0.00017709853691254675</v>
      </c>
      <c r="M29" s="13">
        <f t="shared" si="3"/>
        <v>0.0015653130623155933</v>
      </c>
      <c r="N29" s="13">
        <f t="shared" si="3"/>
        <v>0.008663189459937399</v>
      </c>
      <c r="O29" s="13">
        <f t="shared" si="3"/>
        <v>0.03163416902385241</v>
      </c>
      <c r="R29" s="27">
        <v>0</v>
      </c>
      <c r="S29" s="10">
        <f t="shared" si="4"/>
        <v>0.04999997800213208</v>
      </c>
      <c r="T29" s="10">
        <f t="shared" si="4"/>
        <v>0.04999993706541576</v>
      </c>
      <c r="U29" s="10">
        <f t="shared" si="4"/>
        <v>0.0499999766651989</v>
      </c>
    </row>
    <row r="30" spans="3:21" ht="13.5">
      <c r="C30" s="1"/>
      <c r="D30" s="1"/>
      <c r="E30" s="1"/>
      <c r="F30" s="1"/>
      <c r="J30" s="23">
        <v>8</v>
      </c>
      <c r="K30" s="22">
        <f t="shared" si="0"/>
        <v>6.446250098081873E-06</v>
      </c>
      <c r="L30" s="13">
        <f t="shared" si="3"/>
        <v>9.949093397765963E-05</v>
      </c>
      <c r="M30" s="13">
        <f t="shared" si="3"/>
        <v>0.0009163620395547195</v>
      </c>
      <c r="N30" s="13">
        <f t="shared" si="3"/>
        <v>0.0053430705935878465</v>
      </c>
      <c r="O30" s="13">
        <f t="shared" si="3"/>
        <v>0.02080830874503954</v>
      </c>
      <c r="R30" s="7">
        <v>0.2</v>
      </c>
      <c r="S30" s="13">
        <f t="shared" si="4"/>
        <v>0.13691648306697868</v>
      </c>
      <c r="T30" s="13">
        <f t="shared" si="4"/>
        <v>0.18926075094327688</v>
      </c>
      <c r="U30" s="13">
        <f t="shared" si="4"/>
        <v>0.25048463878230964</v>
      </c>
    </row>
    <row r="31" spans="3:21" ht="13.5">
      <c r="C31" s="1"/>
      <c r="D31" s="1"/>
      <c r="E31" s="1"/>
      <c r="F31" s="1"/>
      <c r="J31" s="23"/>
      <c r="K31" s="22"/>
      <c r="L31" s="13"/>
      <c r="M31" s="13"/>
      <c r="N31" s="13"/>
      <c r="R31" s="8">
        <v>0.4</v>
      </c>
      <c r="S31" s="13">
        <f t="shared" si="4"/>
        <v>0.29264717211087765</v>
      </c>
      <c r="T31" s="13">
        <f t="shared" si="4"/>
        <v>0.4532637821206358</v>
      </c>
      <c r="U31" s="13">
        <f t="shared" si="4"/>
        <v>0.6172589536202802</v>
      </c>
    </row>
    <row r="32" spans="3:21" ht="13.5">
      <c r="C32" s="1"/>
      <c r="D32" s="1"/>
      <c r="E32" s="1"/>
      <c r="F32" s="1"/>
      <c r="J32" s="13">
        <f>TINV(0.1,K4)</f>
        <v>1.8124615053238813</v>
      </c>
      <c r="K32" s="22">
        <v>0.4</v>
      </c>
      <c r="L32" s="13"/>
      <c r="M32" s="13"/>
      <c r="N32" s="13"/>
      <c r="R32" s="7">
        <v>0.6</v>
      </c>
      <c r="S32" s="13">
        <f t="shared" si="4"/>
        <v>0.5003933986108132</v>
      </c>
      <c r="T32" s="13">
        <f t="shared" si="4"/>
        <v>0.740459471600716</v>
      </c>
      <c r="U32" s="13">
        <f t="shared" si="4"/>
        <v>0.8977638330319254</v>
      </c>
    </row>
    <row r="33" spans="3:21" ht="13.5">
      <c r="C33" s="1"/>
      <c r="D33" s="1"/>
      <c r="E33" s="1"/>
      <c r="F33" s="1"/>
      <c r="J33" s="13">
        <f>J32</f>
        <v>1.8124615053238813</v>
      </c>
      <c r="K33" s="22">
        <v>0</v>
      </c>
      <c r="L33" s="13"/>
      <c r="M33" s="13"/>
      <c r="N33" s="13"/>
      <c r="R33" s="8">
        <v>0.8</v>
      </c>
      <c r="S33" s="13">
        <f t="shared" si="4"/>
        <v>0.7073638437489393</v>
      </c>
      <c r="T33" s="13">
        <f t="shared" si="4"/>
        <v>0.9201270920743126</v>
      </c>
      <c r="U33" s="13">
        <f t="shared" si="4"/>
        <v>0.9874189833060976</v>
      </c>
    </row>
    <row r="34" spans="18:21" ht="13.5">
      <c r="R34" s="14">
        <v>1</v>
      </c>
      <c r="S34" s="15">
        <f t="shared" si="4"/>
        <v>0.8618135793677967</v>
      </c>
      <c r="T34" s="15">
        <f t="shared" si="4"/>
        <v>0.9848476093482972</v>
      </c>
      <c r="U34" s="15">
        <f t="shared" si="4"/>
        <v>0.9993323294833009</v>
      </c>
    </row>
    <row r="35" spans="18:21" ht="13.5">
      <c r="R35" s="23"/>
      <c r="S35" s="13"/>
      <c r="T35" s="13"/>
      <c r="U35" s="13"/>
    </row>
    <row r="62" spans="11:17" ht="13.5">
      <c r="K62" s="23"/>
      <c r="L62" s="13"/>
      <c r="M62" s="13"/>
      <c r="N62" s="13"/>
      <c r="O62" s="13"/>
      <c r="P62" s="30"/>
      <c r="Q62" s="30"/>
    </row>
    <row r="63" spans="11:17" ht="13.5">
      <c r="K63" s="23"/>
      <c r="L63" s="13"/>
      <c r="M63" s="13"/>
      <c r="N63" s="13"/>
      <c r="O63" s="13"/>
      <c r="P63" s="30"/>
      <c r="Q63" s="30"/>
    </row>
    <row r="64" spans="11:17" ht="13.5">
      <c r="K64" s="23"/>
      <c r="L64" s="13"/>
      <c r="M64" s="13"/>
      <c r="N64" s="13"/>
      <c r="O64" s="13"/>
      <c r="P64" s="30"/>
      <c r="Q64" s="30"/>
    </row>
    <row r="65" spans="11:17" ht="13.5">
      <c r="K65" s="23"/>
      <c r="L65" s="13"/>
      <c r="M65" s="13"/>
      <c r="N65" s="13"/>
      <c r="O65" s="13"/>
      <c r="P65" s="30"/>
      <c r="Q65" s="30"/>
    </row>
    <row r="66" spans="11:17" ht="13.5">
      <c r="K66" s="23"/>
      <c r="L66" s="13"/>
      <c r="M66" s="13"/>
      <c r="N66" s="13"/>
      <c r="O66" s="13"/>
      <c r="P66" s="30"/>
      <c r="Q66" s="30"/>
    </row>
    <row r="67" spans="11:17" ht="13.5">
      <c r="K67" s="23"/>
      <c r="L67" s="13"/>
      <c r="M67" s="13"/>
      <c r="N67" s="13"/>
      <c r="O67" s="13"/>
      <c r="P67" s="30"/>
      <c r="Q67" s="30"/>
    </row>
    <row r="68" spans="11:17" ht="13.5">
      <c r="K68" s="23"/>
      <c r="L68" s="13"/>
      <c r="M68" s="13"/>
      <c r="N68" s="13"/>
      <c r="O68" s="13"/>
      <c r="P68" s="30"/>
      <c r="Q68" s="30"/>
    </row>
    <row r="69" spans="11:17" ht="13.5">
      <c r="K69" s="23"/>
      <c r="L69" s="13"/>
      <c r="M69" s="13"/>
      <c r="N69" s="13"/>
      <c r="O69" s="13"/>
      <c r="P69" s="30"/>
      <c r="Q69" s="30"/>
    </row>
    <row r="70" spans="11:17" ht="13.5">
      <c r="K70" s="23"/>
      <c r="L70" s="13"/>
      <c r="M70" s="13"/>
      <c r="N70" s="13"/>
      <c r="O70" s="13"/>
      <c r="P70" s="30"/>
      <c r="Q70" s="30"/>
    </row>
    <row r="71" spans="11:17" ht="13.5">
      <c r="K71" s="23"/>
      <c r="L71" s="13"/>
      <c r="M71" s="13"/>
      <c r="N71" s="13"/>
      <c r="O71" s="13"/>
      <c r="P71" s="30"/>
      <c r="Q71" s="30"/>
    </row>
    <row r="72" spans="11:17" ht="13.5">
      <c r="K72" s="23"/>
      <c r="L72" s="13"/>
      <c r="M72" s="13"/>
      <c r="N72" s="13"/>
      <c r="O72" s="13"/>
      <c r="P72" s="30"/>
      <c r="Q72" s="30"/>
    </row>
    <row r="73" spans="11:17" ht="13.5">
      <c r="K73" s="23"/>
      <c r="L73" s="13"/>
      <c r="M73" s="13"/>
      <c r="N73" s="13"/>
      <c r="O73" s="13"/>
      <c r="P73" s="30"/>
      <c r="Q73" s="30"/>
    </row>
    <row r="74" spans="11:17" ht="13.5">
      <c r="K74" s="23"/>
      <c r="L74" s="13"/>
      <c r="M74" s="13"/>
      <c r="N74" s="13"/>
      <c r="O74" s="13"/>
      <c r="P74" s="30"/>
      <c r="Q74" s="30"/>
    </row>
    <row r="75" spans="11:17" ht="13.5">
      <c r="K75" s="23"/>
      <c r="L75" s="13"/>
      <c r="M75" s="13"/>
      <c r="N75" s="13"/>
      <c r="O75" s="13"/>
      <c r="P75" s="30"/>
      <c r="Q75" s="30"/>
    </row>
    <row r="76" spans="11:17" ht="13.5">
      <c r="K76" s="23"/>
      <c r="L76" s="13"/>
      <c r="M76" s="13"/>
      <c r="N76" s="13"/>
      <c r="O76" s="13"/>
      <c r="P76" s="30"/>
      <c r="Q76" s="30"/>
    </row>
    <row r="77" spans="11:15" ht="13.5">
      <c r="K77" s="30"/>
      <c r="L77" s="13"/>
      <c r="M77" s="13"/>
      <c r="N77" s="13"/>
      <c r="O77" s="13"/>
    </row>
  </sheetData>
  <mergeCells count="4">
    <mergeCell ref="D2:F2"/>
    <mergeCell ref="S22:U22"/>
    <mergeCell ref="S4:U4"/>
    <mergeCell ref="D13:F13"/>
  </mergeCells>
  <printOptions/>
  <pageMargins left="0.75" right="0.75" top="1" bottom="1" header="0.512" footer="0.512"/>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Y66"/>
  <sheetViews>
    <sheetView zoomScale="75" zoomScaleNormal="75" workbookViewId="0" topLeftCell="A1">
      <selection activeCell="A1" sqref="A1:C1"/>
    </sheetView>
  </sheetViews>
  <sheetFormatPr defaultColWidth="8.796875" defaultRowHeight="14.25"/>
  <cols>
    <col min="1" max="2" width="4.5" style="0" customWidth="1"/>
    <col min="3" max="3" width="5.5" style="0" customWidth="1"/>
    <col min="4" max="4" width="5.69921875" style="0" customWidth="1"/>
    <col min="5" max="6" width="9.19921875" style="0" bestFit="1" customWidth="1"/>
    <col min="8" max="8" width="11.19921875" style="0" customWidth="1"/>
    <col min="9" max="9" width="13.8984375" style="0" customWidth="1"/>
    <col min="15" max="15" width="54.59765625" style="0" customWidth="1"/>
    <col min="24" max="24" width="4.3984375" style="0" customWidth="1"/>
    <col min="25" max="25" width="6.69921875" style="0" customWidth="1"/>
  </cols>
  <sheetData>
    <row r="1" spans="1:2" ht="14.25" thickBot="1">
      <c r="A1" t="s">
        <v>240</v>
      </c>
      <c r="B1" t="s">
        <v>421</v>
      </c>
    </row>
    <row r="2" spans="1:23" ht="13.5">
      <c r="A2" s="39"/>
      <c r="B2" s="39"/>
      <c r="C2" s="39"/>
      <c r="D2" s="5"/>
      <c r="E2" s="159" t="s">
        <v>30</v>
      </c>
      <c r="F2" s="159"/>
      <c r="G2" s="159"/>
      <c r="K2" t="s">
        <v>147</v>
      </c>
      <c r="L2" s="105">
        <v>3</v>
      </c>
      <c r="M2" s="106">
        <v>9</v>
      </c>
      <c r="N2" s="107">
        <v>9</v>
      </c>
      <c r="O2" s="111" t="s">
        <v>149</v>
      </c>
      <c r="Q2" s="3" t="s">
        <v>65</v>
      </c>
      <c r="R2">
        <v>10</v>
      </c>
      <c r="U2" s="3" t="s">
        <v>105</v>
      </c>
      <c r="V2" s="3" t="s">
        <v>33</v>
      </c>
      <c r="W2" s="3"/>
    </row>
    <row r="3" spans="1:23" ht="14.25" thickBot="1">
      <c r="A3" s="4" t="s">
        <v>65</v>
      </c>
      <c r="B3" s="4" t="s">
        <v>66</v>
      </c>
      <c r="C3" s="4" t="s">
        <v>67</v>
      </c>
      <c r="D3" s="6" t="s">
        <v>68</v>
      </c>
      <c r="E3" s="26" t="s">
        <v>33</v>
      </c>
      <c r="F3" s="26" t="s">
        <v>105</v>
      </c>
      <c r="G3" s="26" t="s">
        <v>29</v>
      </c>
      <c r="K3" t="s">
        <v>148</v>
      </c>
      <c r="L3" s="108">
        <v>9</v>
      </c>
      <c r="M3" s="109">
        <v>3</v>
      </c>
      <c r="N3" s="110">
        <v>9</v>
      </c>
      <c r="Q3" s="3" t="s">
        <v>112</v>
      </c>
      <c r="R3">
        <v>8</v>
      </c>
      <c r="T3" s="3" t="s">
        <v>61</v>
      </c>
      <c r="U3" s="13">
        <f>FINV(1-R5,R22,R23)</f>
        <v>0.3036983997617426</v>
      </c>
      <c r="V3" s="13">
        <f>FINV(R5,R22,R23)</f>
        <v>3.676674964481208</v>
      </c>
      <c r="W3" s="13"/>
    </row>
    <row r="4" spans="1:23" ht="13.5">
      <c r="A4" s="39">
        <v>10</v>
      </c>
      <c r="B4" s="39">
        <v>8</v>
      </c>
      <c r="C4" s="39">
        <v>0.05</v>
      </c>
      <c r="D4" s="11">
        <v>2</v>
      </c>
      <c r="E4" s="55">
        <f>FDIST(FINV($C4,$A4-1,$B4-1)/$D4^2,$A4-1,$B4-1)</f>
        <v>0.5576275350745016</v>
      </c>
      <c r="F4" s="12">
        <f>1-FDIST(FINV(1-$C4,$A4-1,$B4-1)/$D4^2,$A4-1,$B4-1)</f>
        <v>0.00044769827845336785</v>
      </c>
      <c r="G4" s="59">
        <f>FDIST(FINV($C4/2,$A4-1,$B4-1)/$D4^2,$A4-1,$B4-1)+1-FDIST(FINV(1-$C4/2,$A4-1,$B4-1)/$D4^2,$A4-1,$B4-1)</f>
        <v>0.4118715610916509</v>
      </c>
      <c r="I4" t="s">
        <v>128</v>
      </c>
      <c r="L4" s="75" t="str">
        <f>L2&amp;"-"&amp;L3</f>
        <v>3-9</v>
      </c>
      <c r="M4" s="75" t="str">
        <f>M2&amp;"-"&amp;M3</f>
        <v>9-3</v>
      </c>
      <c r="N4" s="75" t="str">
        <f>N2&amp;"-"&amp;N3</f>
        <v>9-9</v>
      </c>
      <c r="Q4" s="3" t="s">
        <v>113</v>
      </c>
      <c r="R4">
        <v>1.5</v>
      </c>
      <c r="T4" s="3" t="s">
        <v>57</v>
      </c>
      <c r="U4" s="13">
        <f>1-FDIST(U3*R4^2,R22,R23)</f>
        <v>0.29098383567292185</v>
      </c>
      <c r="V4" s="13">
        <f>FDIST(V3/R4^2,R22,R23)</f>
        <v>0.2650304119237877</v>
      </c>
      <c r="W4" s="13"/>
    </row>
    <row r="5" spans="1:18" ht="13.5">
      <c r="A5" s="30">
        <v>10</v>
      </c>
      <c r="B5" s="30">
        <v>8</v>
      </c>
      <c r="C5" s="30">
        <v>0.05</v>
      </c>
      <c r="D5" s="7">
        <v>0.5</v>
      </c>
      <c r="E5" s="13">
        <f>FDIST(FINV($C5,$A5-1,$B5-1)/$D5^2,$A5-1,$B5-1)</f>
        <v>0.0009206350892771552</v>
      </c>
      <c r="F5" s="56">
        <f>1-FDIST(FINV(1-$C5,$A5-1,$B5-1)/$D5^2,$A5-1,$B5-1)</f>
        <v>0.5921851986925266</v>
      </c>
      <c r="G5" s="59">
        <f>FDIST(FINV($C5/2,$A5-1,$B5-1)/$D5^2,$A5-1,$B5-1)+1-FDIST(FINV(1-$C5/2,$A5-1,$B5-1)/$D5^2,$A5-1,$B5-1)</f>
        <v>0.4622972301155889</v>
      </c>
      <c r="I5" t="s">
        <v>129</v>
      </c>
      <c r="K5" s="2">
        <v>0</v>
      </c>
      <c r="L5">
        <v>0</v>
      </c>
      <c r="M5">
        <v>0</v>
      </c>
      <c r="N5">
        <v>0</v>
      </c>
      <c r="Q5" s="3" t="s">
        <v>0</v>
      </c>
      <c r="R5">
        <v>0.05</v>
      </c>
    </row>
    <row r="6" spans="1:14" ht="14.25">
      <c r="A6" s="40">
        <v>10</v>
      </c>
      <c r="B6" s="40">
        <v>8</v>
      </c>
      <c r="C6" s="40">
        <v>0.05</v>
      </c>
      <c r="D6" s="14">
        <v>2</v>
      </c>
      <c r="E6" s="15">
        <f>FDIST(FINV($C6,$A6-1,$B6-1)/$D6^2,$A6-1,$B6-1)</f>
        <v>0.5576275350745016</v>
      </c>
      <c r="F6" s="15">
        <f>1-FDIST(FINV(1-$C6,$A6-1,$B6-1)/$D6^2,$A6-1,$B6-1)</f>
        <v>0.00044769827845336785</v>
      </c>
      <c r="G6" s="57">
        <f>FDIST(FINV($C6/2,$A6-1,$B6-1)/$D6^2,$A6-1,$B6-1)+1-FDIST(FINV(1-$C6/2,$A6-1,$B6-1)/$D6^2,$A6-1,$B6-1)</f>
        <v>0.4118715610916509</v>
      </c>
      <c r="I6" t="s">
        <v>130</v>
      </c>
      <c r="K6" s="2">
        <v>0.02</v>
      </c>
      <c r="L6" s="17">
        <f aca="true" t="shared" si="0" ref="L6:N34">(FDIST($K6-0.005,L$2,L$3)-FDIST($K6+0.005,L$2,L$3))/0.01</f>
        <v>0.3035233888768807</v>
      </c>
      <c r="M6" s="17">
        <f t="shared" si="0"/>
        <v>0.0013906709519062588</v>
      </c>
      <c r="N6" s="17">
        <f t="shared" si="0"/>
        <v>0.00030429769901640924</v>
      </c>
    </row>
    <row r="7" spans="11:25" ht="14.25">
      <c r="K7" s="2">
        <v>0.05</v>
      </c>
      <c r="L7" s="17">
        <f t="shared" si="0"/>
        <v>0.45339759596763063</v>
      </c>
      <c r="M7" s="17">
        <f t="shared" si="0"/>
        <v>0.0198663984314007</v>
      </c>
      <c r="N7" s="17">
        <f t="shared" si="0"/>
        <v>0.005422623117334879</v>
      </c>
      <c r="X7" s="3" t="s">
        <v>65</v>
      </c>
      <c r="Y7">
        <v>6</v>
      </c>
    </row>
    <row r="8" spans="1:25" ht="14.25">
      <c r="A8" t="s">
        <v>73</v>
      </c>
      <c r="B8" s="35" t="s">
        <v>71</v>
      </c>
      <c r="K8" s="2">
        <v>0.1</v>
      </c>
      <c r="L8" s="17">
        <f t="shared" si="0"/>
        <v>0.5818287079113915</v>
      </c>
      <c r="M8" s="17">
        <f t="shared" si="0"/>
        <v>0.10705619265073407</v>
      </c>
      <c r="N8" s="17">
        <f t="shared" si="0"/>
        <v>0.04002936829652359</v>
      </c>
      <c r="X8" s="3" t="s">
        <v>112</v>
      </c>
      <c r="Y8">
        <v>24</v>
      </c>
    </row>
    <row r="9" spans="1:25" ht="14.25">
      <c r="A9" t="s">
        <v>126</v>
      </c>
      <c r="B9" s="35" t="s">
        <v>72</v>
      </c>
      <c r="K9" s="2">
        <v>0.15</v>
      </c>
      <c r="L9" s="17">
        <f t="shared" si="0"/>
        <v>0.6474177050361796</v>
      </c>
      <c r="M9" s="17">
        <f t="shared" si="0"/>
        <v>0.2296835462368918</v>
      </c>
      <c r="N9" s="17">
        <f t="shared" si="0"/>
        <v>0.1107737356339622</v>
      </c>
      <c r="X9" t="s">
        <v>205</v>
      </c>
      <c r="Y9" s="2">
        <v>0.22426736988147988</v>
      </c>
    </row>
    <row r="10" spans="1:25" ht="14.25">
      <c r="A10" t="s">
        <v>127</v>
      </c>
      <c r="B10" s="35" t="s">
        <v>69</v>
      </c>
      <c r="K10" s="72">
        <v>0.2</v>
      </c>
      <c r="L10" s="17">
        <f t="shared" si="0"/>
        <v>0.6801927072307645</v>
      </c>
      <c r="M10" s="17">
        <f t="shared" si="0"/>
        <v>0.3482357236161415</v>
      </c>
      <c r="N10" s="17">
        <f t="shared" si="0"/>
        <v>0.20665205197237801</v>
      </c>
      <c r="X10" t="s">
        <v>206</v>
      </c>
      <c r="Y10" s="2">
        <v>0.35231332458855635</v>
      </c>
    </row>
    <row r="11" spans="2:14" ht="14.25">
      <c r="B11" s="35" t="s">
        <v>70</v>
      </c>
      <c r="K11" s="72">
        <v>0.3</v>
      </c>
      <c r="L11" s="17">
        <f t="shared" si="0"/>
        <v>0.6926369747045524</v>
      </c>
      <c r="M11" s="17">
        <f t="shared" si="0"/>
        <v>0.5133409194020611</v>
      </c>
      <c r="N11" s="17">
        <f t="shared" si="0"/>
        <v>0.41557194866144176</v>
      </c>
    </row>
    <row r="12" spans="11:14" ht="14.25">
      <c r="K12" s="72">
        <v>0.4</v>
      </c>
      <c r="L12" s="17">
        <f t="shared" si="0"/>
        <v>0.6686363077622715</v>
      </c>
      <c r="M12" s="17">
        <f t="shared" si="0"/>
        <v>0.583032519988258</v>
      </c>
      <c r="N12" s="17">
        <f t="shared" si="0"/>
        <v>0.5838054487084077</v>
      </c>
    </row>
    <row r="13" spans="1:14" ht="14.25">
      <c r="A13" s="39"/>
      <c r="B13" s="39"/>
      <c r="C13" s="39"/>
      <c r="D13" s="5"/>
      <c r="E13" s="159" t="s">
        <v>30</v>
      </c>
      <c r="F13" s="159"/>
      <c r="G13" s="159"/>
      <c r="K13" s="72">
        <v>0.5</v>
      </c>
      <c r="L13" s="17">
        <f t="shared" si="0"/>
        <v>0.6282212570248191</v>
      </c>
      <c r="M13" s="17">
        <f t="shared" si="0"/>
        <v>0.5912661775521966</v>
      </c>
      <c r="N13" s="17">
        <f t="shared" si="0"/>
        <v>0.6851559215083514</v>
      </c>
    </row>
    <row r="14" spans="1:14" ht="14.25">
      <c r="A14" s="4" t="s">
        <v>65</v>
      </c>
      <c r="B14" s="4" t="s">
        <v>66</v>
      </c>
      <c r="C14" s="4" t="s">
        <v>67</v>
      </c>
      <c r="D14" s="6" t="s">
        <v>68</v>
      </c>
      <c r="E14" s="26" t="s">
        <v>33</v>
      </c>
      <c r="F14" s="26" t="s">
        <v>105</v>
      </c>
      <c r="G14" s="26" t="s">
        <v>29</v>
      </c>
      <c r="K14" s="72">
        <v>0.6</v>
      </c>
      <c r="L14" s="17">
        <f t="shared" si="0"/>
        <v>0.5811629244267147</v>
      </c>
      <c r="M14" s="17">
        <f t="shared" si="0"/>
        <v>0.5670409309196489</v>
      </c>
      <c r="N14" s="17">
        <f t="shared" si="0"/>
        <v>0.725555096749575</v>
      </c>
    </row>
    <row r="15" spans="1:14" ht="14.25">
      <c r="A15" s="39">
        <v>15</v>
      </c>
      <c r="B15" s="39">
        <f>A15</f>
        <v>15</v>
      </c>
      <c r="C15" s="39">
        <v>0.05</v>
      </c>
      <c r="D15" s="11">
        <v>2</v>
      </c>
      <c r="E15" s="55">
        <f>FDIST(FINV($C15,$A15-1,$B15-1)/$D15^2,$A15-1,$B15-1)</f>
        <v>0.8083236011256718</v>
      </c>
      <c r="F15" s="58">
        <f>1-FDIST(FINV(1-$C15,$A15-1,$B15-1)/$D15^2,$A15-1,$B15-1)</f>
        <v>5.575504091037686E-05</v>
      </c>
      <c r="G15" s="59">
        <f>FDIST(FINV($C15/2,$A15-1,$B15-1)/$D15^2,$A15-1,$B15-1)+1-FDIST(FINV(1-$C15/2,$A15-1,$B15-1)/$D15^2,$A15-1,$B15-1)</f>
        <v>0.7057261087020655</v>
      </c>
      <c r="H15" s="44"/>
      <c r="I15" t="s">
        <v>131</v>
      </c>
      <c r="K15" s="72">
        <v>0.7</v>
      </c>
      <c r="L15" s="17">
        <f t="shared" si="0"/>
        <v>0.5325701373787073</v>
      </c>
      <c r="M15" s="17">
        <f t="shared" si="0"/>
        <v>0.5280914457915342</v>
      </c>
      <c r="N15" s="17">
        <f t="shared" si="0"/>
        <v>0.7211535243585088</v>
      </c>
    </row>
    <row r="16" spans="1:14" ht="14.25">
      <c r="A16" s="30">
        <v>11</v>
      </c>
      <c r="B16" s="30">
        <f>A16</f>
        <v>11</v>
      </c>
      <c r="C16" s="30">
        <v>0.05</v>
      </c>
      <c r="D16" s="22">
        <v>0.333</v>
      </c>
      <c r="E16" s="59">
        <f>FDIST(FINV($C16,$A16-1,$B16-1)/$D16^2,$A16-1,$B16-1)</f>
        <v>6.651891826220384E-06</v>
      </c>
      <c r="F16" s="56">
        <f>1-FDIST(FINV(1-$C16,$A16-1,$B16-1)/$D16^2,$A16-1,$B16-1)</f>
        <v>0.9524120196538077</v>
      </c>
      <c r="G16" s="59">
        <f>FDIST(FINV($C16/2,$A16-1,$B16-1)/$D16^2,$A16-1,$B16-1)+1-FDIST(FINV(1-$C16/2,$A16-1,$B16-1)/$D16^2,$A16-1,$B16-1)</f>
        <v>0.9108574001798905</v>
      </c>
      <c r="H16" s="44"/>
      <c r="I16" t="s">
        <v>132</v>
      </c>
      <c r="K16" s="72">
        <v>0.8</v>
      </c>
      <c r="L16" s="17">
        <f t="shared" si="0"/>
        <v>0.48515677167142446</v>
      </c>
      <c r="M16" s="17">
        <f t="shared" si="0"/>
        <v>0.4841492186994478</v>
      </c>
      <c r="N16" s="17">
        <f t="shared" si="0"/>
        <v>0.6880028918490599</v>
      </c>
    </row>
    <row r="17" spans="1:14" ht="14.25">
      <c r="A17" s="30">
        <v>15</v>
      </c>
      <c r="B17" s="30">
        <f>A17</f>
        <v>15</v>
      </c>
      <c r="C17" s="30">
        <v>0.05</v>
      </c>
      <c r="D17" s="7">
        <v>2.5</v>
      </c>
      <c r="E17" s="59">
        <f>FDIST(FINV($C17,$A17-1,$B17-1)/$D17^2,$A17-1,$B17-1)</f>
        <v>0.952313664735017</v>
      </c>
      <c r="F17" s="59">
        <f>1-FDIST(FINV(1-$C17,$A17-1,$B17-1)/$D17^2,$A17-1,$B17-1)</f>
        <v>3.68461909283635E-06</v>
      </c>
      <c r="G17" s="56">
        <f>FDIST(FINV($C17/2,$A17-1,$B17-1)/$D17^2,$A17-1,$B17-1)+1-FDIST(FINV(1-$C17/2,$A17-1,$B17-1)/$D17^2,$A17-1,$B17-1)</f>
        <v>0.9110374481174504</v>
      </c>
      <c r="H17" s="44"/>
      <c r="I17" t="s">
        <v>133</v>
      </c>
      <c r="K17" s="72">
        <v>0.9</v>
      </c>
      <c r="L17" s="17">
        <f t="shared" si="0"/>
        <v>0.4403243030776882</v>
      </c>
      <c r="M17" s="17">
        <f t="shared" si="0"/>
        <v>0.4402275111039966</v>
      </c>
      <c r="N17" s="17">
        <f t="shared" si="0"/>
        <v>0.6386992196123931</v>
      </c>
    </row>
    <row r="18" spans="1:14" ht="14.25">
      <c r="A18" s="40">
        <v>24</v>
      </c>
      <c r="B18" s="40">
        <f>A18</f>
        <v>24</v>
      </c>
      <c r="C18" s="40">
        <v>0.05</v>
      </c>
      <c r="D18" s="14">
        <v>0.5</v>
      </c>
      <c r="E18" s="60">
        <f>FDIST(FINV($C18,$A18-1,$B18-1)/$D18^2,$A18-1,$B18-1)</f>
        <v>2.222019032748916E-06</v>
      </c>
      <c r="F18" s="60">
        <f>1-FDIST(FINV(1-$C18,$A18-1,$B18-1)/$D18^2,$A18-1,$B18-1)</f>
        <v>0.9464896943411855</v>
      </c>
      <c r="G18" s="57">
        <f>FDIST(FINV($C18/2,$A18-1,$B18-1)/$D18^2,$A18-1,$B18-1)+1-FDIST(FINV(1-$C18/2,$A18-1,$B18-1)/$D18^2,$A18-1,$B18-1)</f>
        <v>0.9019481757065475</v>
      </c>
      <c r="H18" s="44"/>
      <c r="K18" s="72">
        <v>1</v>
      </c>
      <c r="L18" s="17">
        <f t="shared" si="0"/>
        <v>0.3987303868749015</v>
      </c>
      <c r="M18" s="17">
        <f t="shared" si="0"/>
        <v>0.3987303868515424</v>
      </c>
      <c r="N18" s="17">
        <f t="shared" si="0"/>
        <v>0.5820517597617703</v>
      </c>
    </row>
    <row r="19" spans="8:14" ht="14.25">
      <c r="H19" s="44"/>
      <c r="K19" s="72">
        <v>1.2</v>
      </c>
      <c r="L19" s="17">
        <f t="shared" si="0"/>
        <v>0.32593756652405936</v>
      </c>
      <c r="M19" s="17">
        <f t="shared" si="0"/>
        <v>0.32630752267567287</v>
      </c>
      <c r="N19" s="17">
        <f t="shared" si="0"/>
        <v>0.46726549652212346</v>
      </c>
    </row>
    <row r="20" spans="1:14" ht="14.25">
      <c r="A20" s="39"/>
      <c r="B20" s="39"/>
      <c r="C20" s="39"/>
      <c r="D20" s="5"/>
      <c r="E20" s="159" t="s">
        <v>30</v>
      </c>
      <c r="F20" s="159"/>
      <c r="G20" s="159"/>
      <c r="K20" s="72">
        <v>1.4</v>
      </c>
      <c r="L20" s="17">
        <f t="shared" si="0"/>
        <v>0.26631009794385596</v>
      </c>
      <c r="M20" s="17">
        <f t="shared" si="0"/>
        <v>0.26820558511685966</v>
      </c>
      <c r="N20" s="17">
        <f t="shared" si="0"/>
        <v>0.36625316726289214</v>
      </c>
    </row>
    <row r="21" spans="1:25" ht="14.25">
      <c r="A21" s="4" t="s">
        <v>65</v>
      </c>
      <c r="B21" s="4" t="s">
        <v>66</v>
      </c>
      <c r="C21" s="4" t="s">
        <v>67</v>
      </c>
      <c r="D21" s="6" t="s">
        <v>68</v>
      </c>
      <c r="E21" s="26" t="s">
        <v>33</v>
      </c>
      <c r="F21" s="26" t="s">
        <v>105</v>
      </c>
      <c r="G21" s="26" t="s">
        <v>29</v>
      </c>
      <c r="K21" s="72">
        <v>1.6</v>
      </c>
      <c r="L21" s="17">
        <f t="shared" si="0"/>
        <v>0.21804827447211572</v>
      </c>
      <c r="M21" s="17">
        <f t="shared" si="0"/>
        <v>0.22227551526973754</v>
      </c>
      <c r="N21" s="17">
        <f t="shared" si="0"/>
        <v>0.2843771499684622</v>
      </c>
      <c r="X21" s="3" t="s">
        <v>65</v>
      </c>
      <c r="Y21">
        <v>15</v>
      </c>
    </row>
    <row r="22" spans="1:25" ht="14.25">
      <c r="A22" s="39">
        <v>14</v>
      </c>
      <c r="B22" s="39">
        <v>14</v>
      </c>
      <c r="C22" s="39">
        <v>0.05</v>
      </c>
      <c r="D22" s="11">
        <v>2</v>
      </c>
      <c r="E22" s="55">
        <f>FDIST(FINV($C22,$A22-1,$B22-1)/$D22^2,$A22-1,$B22-1)</f>
        <v>0.7806988414878385</v>
      </c>
      <c r="F22" s="59">
        <f>1-FDIST(FINV(1-$C22,$A22-1,$B22-1)/$D22^2,$A22-1,$B22-1)</f>
        <v>8.170784311523072E-05</v>
      </c>
      <c r="G22" s="59">
        <f>FDIST(FINV($C22/2,$A22-1,$B22-1)/$D22^2,$A22-1,$B22-1)+1-FDIST(FINV(1-$C22/2,$A22-1,$B22-1)/$D22^2,$A22-1,$B22-1)</f>
        <v>0.6706575924649635</v>
      </c>
      <c r="I22" t="s">
        <v>131</v>
      </c>
      <c r="K22" s="72">
        <v>1.8</v>
      </c>
      <c r="L22" s="17">
        <f t="shared" si="0"/>
        <v>0.17915479431163672</v>
      </c>
      <c r="M22" s="17">
        <f t="shared" si="0"/>
        <v>0.18595737938636447</v>
      </c>
      <c r="N22" s="17">
        <f t="shared" si="0"/>
        <v>0.22042789027236775</v>
      </c>
      <c r="Q22" s="3" t="s">
        <v>118</v>
      </c>
      <c r="R22">
        <f>R2-1</f>
        <v>9</v>
      </c>
      <c r="X22" s="3" t="s">
        <v>112</v>
      </c>
      <c r="Y22">
        <v>15</v>
      </c>
    </row>
    <row r="23" spans="1:25" ht="14.25">
      <c r="A23" s="30">
        <v>13</v>
      </c>
      <c r="B23" s="30">
        <v>15</v>
      </c>
      <c r="C23" s="30">
        <v>0.05</v>
      </c>
      <c r="D23" s="7">
        <v>2</v>
      </c>
      <c r="E23" s="56">
        <f>FDIST(FINV($C23,$A23-1,$B23-1)/$D23^2,$A23-1,$B23-1)</f>
        <v>0.7829973518760286</v>
      </c>
      <c r="F23" s="59">
        <f>1-FDIST(FINV(1-$C23,$A23-1,$B23-1)/$D23^2,$A23-1,$B23-1)</f>
        <v>0.0001117957739579234</v>
      </c>
      <c r="G23" s="59">
        <f>FDIST(FINV($C23/2,$A23-1,$B23-1)/$D23^2,$A23-1,$B23-1)+1-FDIST(FINV(1-$C23/2,$A23-1,$B23-1)/$D23^2,$A23-1,$B23-1)</f>
        <v>0.6777245442118579</v>
      </c>
      <c r="K23" s="72">
        <v>2</v>
      </c>
      <c r="L23" s="17">
        <f t="shared" si="0"/>
        <v>0.14782044791304683</v>
      </c>
      <c r="M23" s="17">
        <f t="shared" si="0"/>
        <v>0.15705655802510377</v>
      </c>
      <c r="N23" s="17">
        <f t="shared" si="0"/>
        <v>0.17129660827174265</v>
      </c>
      <c r="Q23" s="3" t="s">
        <v>119</v>
      </c>
      <c r="R23">
        <f>R3-1</f>
        <v>7</v>
      </c>
      <c r="X23" t="s">
        <v>205</v>
      </c>
      <c r="Y23" s="2">
        <v>0.42795351484059596</v>
      </c>
    </row>
    <row r="24" spans="1:25" ht="14.25">
      <c r="A24" s="30">
        <v>12</v>
      </c>
      <c r="B24" s="30">
        <v>16</v>
      </c>
      <c r="C24" s="30">
        <v>0.05</v>
      </c>
      <c r="D24" s="7">
        <v>2</v>
      </c>
      <c r="E24" s="56">
        <f>FDIST(FINV($C24,$A24-1,$B24-1)/$D24^2,$A24-1,$B24-1)</f>
        <v>0.7806393968064742</v>
      </c>
      <c r="F24" s="59">
        <f>1-FDIST(FINV(1-$C24,$A24-1,$B24-1)/$D24^2,$A24-1,$B24-1)</f>
        <v>0.00015758841311208638</v>
      </c>
      <c r="G24" s="59">
        <f>FDIST(FINV($C24/2,$A24-1,$B24-1)/$D24^2,$A24-1,$B24-1)+1-FDIST(FINV(1-$C24/2,$A24-1,$B24-1)/$D24^2,$A24-1,$B24-1)</f>
        <v>0.6789481439922609</v>
      </c>
      <c r="K24" s="72">
        <v>2.2</v>
      </c>
      <c r="L24" s="17">
        <f t="shared" si="0"/>
        <v>0.12252670799950127</v>
      </c>
      <c r="M24" s="17">
        <f t="shared" si="0"/>
        <v>0.13385574173896408</v>
      </c>
      <c r="N24" s="17">
        <f t="shared" si="0"/>
        <v>0.13377180225282448</v>
      </c>
      <c r="Q24" t="s">
        <v>114</v>
      </c>
      <c r="R24">
        <v>0.01</v>
      </c>
      <c r="X24" t="s">
        <v>206</v>
      </c>
      <c r="Y24" s="2">
        <v>0.4279539926375186</v>
      </c>
    </row>
    <row r="25" spans="1:20" ht="14.25">
      <c r="A25" s="39">
        <v>11</v>
      </c>
      <c r="B25" s="39">
        <v>11</v>
      </c>
      <c r="C25" s="39">
        <v>0.05</v>
      </c>
      <c r="D25" s="11">
        <v>0.333</v>
      </c>
      <c r="E25" s="58">
        <f>FDIST(FINV($C25,$A25-1,$B25-1)/$D25^2,$A25-1,$B25-1)</f>
        <v>6.651891826220384E-06</v>
      </c>
      <c r="F25" s="55">
        <f>1-FDIST(FINV(1-$C25,$A25-1,$B25-1)/$D25^2,$A25-1,$B25-1)</f>
        <v>0.9524120196538077</v>
      </c>
      <c r="G25" s="58">
        <f>FDIST(FINV($C25/2,$A25-1,$B25-1)/$D25^2,$A25-1,$B25-1)+1-FDIST(FINV(1-$C25/2,$A25-1,$B25-1)/$D25^2,$A25-1,$B25-1)</f>
        <v>0.9108574001798905</v>
      </c>
      <c r="I25" t="s">
        <v>132</v>
      </c>
      <c r="K25" s="72">
        <v>2.4</v>
      </c>
      <c r="L25" s="17">
        <f t="shared" si="0"/>
        <v>0.10204282203551684</v>
      </c>
      <c r="M25" s="17">
        <f t="shared" si="0"/>
        <v>0.11505228978401227</v>
      </c>
      <c r="N25" s="17">
        <f t="shared" si="0"/>
        <v>0.10511482627093977</v>
      </c>
      <c r="R25" t="s">
        <v>115</v>
      </c>
      <c r="S25" t="s">
        <v>116</v>
      </c>
      <c r="T25" t="s">
        <v>117</v>
      </c>
    </row>
    <row r="26" spans="1:20" ht="14.25">
      <c r="A26" s="40">
        <v>10</v>
      </c>
      <c r="B26" s="40">
        <v>12</v>
      </c>
      <c r="C26" s="40">
        <v>0.05</v>
      </c>
      <c r="D26" s="14">
        <v>0.333</v>
      </c>
      <c r="E26" s="60">
        <f>FDIST(FINV($C26,$A26-1,$B26-1)/$D26^2,$A26-1,$B26-1)</f>
        <v>3.5748228516560868E-06</v>
      </c>
      <c r="F26" s="57">
        <f>1-FDIST(FINV(1-$C26,$A26-1,$B26-1)/$D26^2,$A26-1,$B26-1)</f>
        <v>0.950551304808724</v>
      </c>
      <c r="G26" s="60">
        <f>FDIST(FINV($C26/2,$A26-1,$B26-1)/$D26^2,$A26-1,$B26-1)+1-FDIST(FINV(1-$C26/2,$A26-1,$B26-1)/$D26^2,$A26-1,$B26-1)</f>
        <v>0.9036270594971034</v>
      </c>
      <c r="K26" s="72">
        <v>2.6</v>
      </c>
      <c r="L26" s="17">
        <f t="shared" si="0"/>
        <v>0.0853881937590853</v>
      </c>
      <c r="M26" s="17">
        <f t="shared" si="0"/>
        <v>0.09966658864982714</v>
      </c>
      <c r="N26" s="17">
        <f t="shared" si="0"/>
        <v>0.08316085731271405</v>
      </c>
      <c r="Q26" s="72">
        <v>0</v>
      </c>
      <c r="R26">
        <f>0</f>
        <v>0</v>
      </c>
      <c r="S26">
        <f>0</f>
        <v>0</v>
      </c>
      <c r="T26">
        <f>0</f>
        <v>0</v>
      </c>
    </row>
    <row r="27" spans="11:20" ht="14.25">
      <c r="K27" s="72">
        <v>2.8</v>
      </c>
      <c r="L27" s="17">
        <f t="shared" si="0"/>
        <v>0.071787741286293</v>
      </c>
      <c r="M27" s="17">
        <f t="shared" si="0"/>
        <v>0.08696105200518278</v>
      </c>
      <c r="N27" s="17">
        <f t="shared" si="0"/>
        <v>0.06625754521774607</v>
      </c>
      <c r="Q27">
        <v>0.05</v>
      </c>
      <c r="R27" s="49">
        <f aca="true" t="shared" si="1" ref="R27:R55">(FDIST($Q27-$R$24,$R$22,$R$23)-FDIST($Q27+$R$24,$R$22,$R$23))/(2*$R$24)</f>
        <v>0.00711626394029885</v>
      </c>
      <c r="S27" s="49">
        <f aca="true" t="shared" si="2" ref="S27:S55">(FDIST($Q27*$R$4^2-$R$24,$R$22,$R$23)-FDIST($Q27*$R$4^2+$R$24,$R$22,$R$23))/(2*$R$24/$R$4^2)</f>
        <v>0.147851986883607</v>
      </c>
      <c r="T27" s="49">
        <f aca="true" t="shared" si="3" ref="T27:T55">(FDIST($Q27/$R$4^2-$R$24,$R$22,$R$23)-FDIST($Q27/$R$4^2+$R$24,$R$22,$R$23))/(2*$R$24*$R$4^2)</f>
        <v>0.0002916346121237565</v>
      </c>
    </row>
    <row r="28" spans="11:20" ht="14.25">
      <c r="K28" s="72">
        <v>3</v>
      </c>
      <c r="L28" s="17">
        <f t="shared" si="0"/>
        <v>0.060630658244903435</v>
      </c>
      <c r="M28" s="17">
        <f t="shared" si="0"/>
        <v>0.07637708685142297</v>
      </c>
      <c r="N28" s="17">
        <f t="shared" si="0"/>
        <v>0.05316415621057988</v>
      </c>
      <c r="Q28" s="72">
        <v>0.1</v>
      </c>
      <c r="R28" s="49">
        <f t="shared" si="1"/>
        <v>0.04881026448609882</v>
      </c>
      <c r="S28" s="49">
        <f t="shared" si="2"/>
        <v>0.643222274313146</v>
      </c>
      <c r="T28" s="49">
        <f t="shared" si="3"/>
        <v>0.0022367954049936265</v>
      </c>
    </row>
    <row r="29" spans="11:20" ht="14.25">
      <c r="K29" s="72">
        <v>3.2</v>
      </c>
      <c r="L29" s="17">
        <f t="shared" si="0"/>
        <v>0.0514356150914802</v>
      </c>
      <c r="M29" s="17">
        <f t="shared" si="0"/>
        <v>0.06748827745270691</v>
      </c>
      <c r="N29" s="17">
        <f t="shared" si="0"/>
        <v>0.04295518807509169</v>
      </c>
      <c r="Q29">
        <v>0.15</v>
      </c>
      <c r="R29" s="49">
        <f t="shared" si="1"/>
        <v>0.1289672740877934</v>
      </c>
      <c r="S29" s="49">
        <f t="shared" si="2"/>
        <v>1.135478564039888</v>
      </c>
      <c r="T29" s="49">
        <f t="shared" si="3"/>
        <v>0.007241559639240928</v>
      </c>
    </row>
    <row r="30" spans="11:20" ht="14.25">
      <c r="K30" s="72">
        <v>3.4</v>
      </c>
      <c r="L30" s="17">
        <f t="shared" si="0"/>
        <v>0.043822649517286094</v>
      </c>
      <c r="M30" s="17">
        <f t="shared" si="0"/>
        <v>0.059966210864700886</v>
      </c>
      <c r="N30" s="17">
        <f t="shared" si="0"/>
        <v>0.03494107807918839</v>
      </c>
      <c r="Q30" s="72">
        <v>0.2</v>
      </c>
      <c r="R30" s="49">
        <f t="shared" si="1"/>
        <v>0.2317095662108415</v>
      </c>
      <c r="S30" s="49">
        <f t="shared" si="2"/>
        <v>1.4407792151248655</v>
      </c>
      <c r="T30" s="49">
        <f t="shared" si="3"/>
        <v>0.015944166648101325</v>
      </c>
    </row>
    <row r="31" spans="11:20" ht="14.25">
      <c r="K31" s="72">
        <v>3.6</v>
      </c>
      <c r="L31" s="17">
        <f t="shared" si="0"/>
        <v>0.03749096242153943</v>
      </c>
      <c r="M31" s="17">
        <f t="shared" si="0"/>
        <v>0.05355563519064688</v>
      </c>
      <c r="N31" s="17">
        <f t="shared" si="0"/>
        <v>0.028607000224999124</v>
      </c>
      <c r="Q31">
        <v>0.25</v>
      </c>
      <c r="R31" s="49">
        <f t="shared" si="1"/>
        <v>0.33941414838555284</v>
      </c>
      <c r="S31" s="49">
        <f t="shared" si="2"/>
        <v>1.5603063927743424</v>
      </c>
      <c r="T31" s="49">
        <f t="shared" si="3"/>
        <v>0.028318781133688613</v>
      </c>
    </row>
    <row r="32" spans="11:20" ht="14.25">
      <c r="K32" s="72">
        <v>3.8</v>
      </c>
      <c r="L32" s="17">
        <f t="shared" si="0"/>
        <v>0.032201582373119625</v>
      </c>
      <c r="M32" s="17">
        <f t="shared" si="0"/>
        <v>0.048056361105464074</v>
      </c>
      <c r="N32" s="17">
        <f t="shared" si="0"/>
        <v>0.023567058754553685</v>
      </c>
      <c r="Q32" s="72">
        <v>0.3</v>
      </c>
      <c r="R32" s="49">
        <f t="shared" si="1"/>
        <v>0.43933297787950853</v>
      </c>
      <c r="S32" s="49">
        <f t="shared" si="2"/>
        <v>1.5499911950551144</v>
      </c>
      <c r="T32" s="49">
        <f t="shared" si="3"/>
        <v>0.043912626443947604</v>
      </c>
    </row>
    <row r="33" spans="11:20" ht="14.25">
      <c r="K33" s="72">
        <v>4</v>
      </c>
      <c r="L33" s="17">
        <f t="shared" si="0"/>
        <v>0.02776390755033914</v>
      </c>
      <c r="M33" s="17">
        <f t="shared" si="0"/>
        <v>0.043310002319033036</v>
      </c>
      <c r="N33" s="17">
        <f t="shared" si="0"/>
        <v>0.0195305175645491</v>
      </c>
      <c r="Q33">
        <v>0.35</v>
      </c>
      <c r="R33" s="49">
        <f t="shared" si="1"/>
        <v>0.5242690344163026</v>
      </c>
      <c r="S33" s="49">
        <f t="shared" si="2"/>
        <v>1.46392411904704</v>
      </c>
      <c r="T33" s="49">
        <f t="shared" si="3"/>
        <v>0.06205126900840568</v>
      </c>
    </row>
    <row r="34" spans="11:25" ht="14.25">
      <c r="K34" s="72">
        <v>4.5</v>
      </c>
      <c r="L34" s="17">
        <f t="shared" si="0"/>
        <v>0.01946602990017879</v>
      </c>
      <c r="M34" s="17">
        <f t="shared" si="0"/>
        <v>0.03396831659401717</v>
      </c>
      <c r="N34" s="17">
        <f t="shared" si="0"/>
        <v>0.01250872861305874</v>
      </c>
      <c r="Q34" s="72">
        <v>0.4</v>
      </c>
      <c r="R34" s="49">
        <f t="shared" si="1"/>
        <v>0.591314740798049</v>
      </c>
      <c r="S34" s="49">
        <f t="shared" si="2"/>
        <v>1.3407725834551216</v>
      </c>
      <c r="T34" s="49">
        <f t="shared" si="3"/>
        <v>0.08198497075334722</v>
      </c>
      <c r="X34" s="3" t="s">
        <v>65</v>
      </c>
      <c r="Y34">
        <v>24</v>
      </c>
    </row>
    <row r="35" spans="17:25" ht="14.25">
      <c r="Q35">
        <v>0.45</v>
      </c>
      <c r="R35" s="49">
        <f t="shared" si="1"/>
        <v>0.6403463178332736</v>
      </c>
      <c r="S35" s="49">
        <f t="shared" si="2"/>
        <v>1.2047778043667892</v>
      </c>
      <c r="T35" s="49">
        <f t="shared" si="3"/>
        <v>0.10298202942704067</v>
      </c>
      <c r="X35" s="3" t="s">
        <v>112</v>
      </c>
      <c r="Y35">
        <v>6</v>
      </c>
    </row>
    <row r="36" spans="17:25" ht="14.25">
      <c r="Q36" s="72">
        <v>0.5</v>
      </c>
      <c r="R36" s="49">
        <f t="shared" si="1"/>
        <v>0.6728137873314111</v>
      </c>
      <c r="S36" s="49">
        <f t="shared" si="2"/>
        <v>1.0698449487193507</v>
      </c>
      <c r="T36" s="49">
        <f t="shared" si="3"/>
        <v>0.12438210015287925</v>
      </c>
      <c r="X36" t="s">
        <v>205</v>
      </c>
      <c r="Y36" s="2">
        <v>0.3523143302161129</v>
      </c>
    </row>
    <row r="37" spans="17:25" ht="14.25">
      <c r="Q37">
        <v>0.6</v>
      </c>
      <c r="R37" s="49">
        <f t="shared" si="1"/>
        <v>0.6970445528688252</v>
      </c>
      <c r="S37" s="49">
        <f t="shared" si="2"/>
        <v>0.8282353036468397</v>
      </c>
      <c r="T37" s="49">
        <f t="shared" si="3"/>
        <v>0.16624279675418524</v>
      </c>
      <c r="X37" t="s">
        <v>206</v>
      </c>
      <c r="Y37" s="2">
        <v>0.22426785608146166</v>
      </c>
    </row>
    <row r="38" spans="17:20" ht="14.25">
      <c r="Q38" s="72">
        <v>0.7</v>
      </c>
      <c r="R38" s="49">
        <f t="shared" si="1"/>
        <v>0.68257530455616</v>
      </c>
      <c r="S38" s="49">
        <f t="shared" si="2"/>
        <v>0.6356702985066381</v>
      </c>
      <c r="T38" s="49">
        <f t="shared" si="3"/>
        <v>0.20429376532959953</v>
      </c>
    </row>
    <row r="39" spans="17:20" ht="14.25">
      <c r="Q39">
        <v>0.8</v>
      </c>
      <c r="R39" s="49">
        <f t="shared" si="1"/>
        <v>0.6451190871773038</v>
      </c>
      <c r="S39" s="49">
        <f t="shared" si="2"/>
        <v>0.48852583171351166</v>
      </c>
      <c r="T39" s="49">
        <f t="shared" si="3"/>
        <v>0.23672144301657058</v>
      </c>
    </row>
    <row r="40" spans="17:20" ht="14.25">
      <c r="Q40" s="72">
        <v>0.9</v>
      </c>
      <c r="R40" s="49">
        <f t="shared" si="1"/>
        <v>0.595898925980054</v>
      </c>
      <c r="S40" s="49">
        <f t="shared" si="2"/>
        <v>0.37772488021585204</v>
      </c>
      <c r="T40" s="49">
        <f t="shared" si="3"/>
        <v>0.26280655146579956</v>
      </c>
    </row>
    <row r="41" spans="17:20" ht="14.25">
      <c r="Q41">
        <v>1</v>
      </c>
      <c r="R41" s="49">
        <f t="shared" si="1"/>
        <v>0.5422316595895538</v>
      </c>
      <c r="S41" s="49">
        <f t="shared" si="2"/>
        <v>0.2944717556208173</v>
      </c>
      <c r="T41" s="49">
        <f t="shared" si="3"/>
        <v>0.2825563040097882</v>
      </c>
    </row>
    <row r="42" spans="17:20" ht="14.25">
      <c r="Q42" s="72">
        <v>1.2</v>
      </c>
      <c r="R42" s="49">
        <f t="shared" si="1"/>
        <v>0.4374468455111913</v>
      </c>
      <c r="S42" s="49">
        <f t="shared" si="2"/>
        <v>0.18397300798924707</v>
      </c>
      <c r="T42" s="49">
        <f t="shared" si="3"/>
        <v>0.3050335674789098</v>
      </c>
    </row>
    <row r="43" spans="17:20" ht="14.25">
      <c r="Q43">
        <v>1.4</v>
      </c>
      <c r="R43" s="49">
        <f t="shared" si="1"/>
        <v>0.3471788915308083</v>
      </c>
      <c r="S43" s="49">
        <f t="shared" si="2"/>
        <v>0.11920817013468689</v>
      </c>
      <c r="T43" s="49">
        <f t="shared" si="3"/>
        <v>0.30957872266296577</v>
      </c>
    </row>
    <row r="44" spans="17:20" ht="14.25">
      <c r="Q44" s="72">
        <v>1.6</v>
      </c>
      <c r="R44" s="49">
        <f t="shared" si="1"/>
        <v>0.27432452315941935</v>
      </c>
      <c r="S44" s="49">
        <f t="shared" si="2"/>
        <v>0.07987711382750938</v>
      </c>
      <c r="T44" s="49">
        <f t="shared" si="3"/>
        <v>0.3019132863603854</v>
      </c>
    </row>
    <row r="45" spans="17:20" ht="14.25">
      <c r="Q45">
        <v>1.8</v>
      </c>
      <c r="R45" s="49">
        <f t="shared" si="1"/>
        <v>0.21712259187267186</v>
      </c>
      <c r="S45" s="49">
        <f t="shared" si="2"/>
        <v>0.05514509016971972</v>
      </c>
      <c r="T45" s="49">
        <f t="shared" si="3"/>
        <v>0.28671959430102395</v>
      </c>
    </row>
    <row r="46" spans="17:20" ht="14.25">
      <c r="Q46" s="72">
        <v>2</v>
      </c>
      <c r="R46" s="49">
        <f t="shared" si="1"/>
        <v>0.17267912402135488</v>
      </c>
      <c r="S46" s="49">
        <f t="shared" si="2"/>
        <v>0.0390864940638782</v>
      </c>
      <c r="T46" s="49">
        <f t="shared" si="3"/>
        <v>0.26741899665318297</v>
      </c>
    </row>
    <row r="47" spans="17:20" ht="14.25">
      <c r="Q47">
        <v>2.2</v>
      </c>
      <c r="R47" s="49">
        <f t="shared" si="1"/>
        <v>0.13821511003403314</v>
      </c>
      <c r="S47" s="49">
        <f t="shared" si="2"/>
        <v>0.028354372387642823</v>
      </c>
      <c r="T47" s="49">
        <f t="shared" si="3"/>
        <v>0.24634574603090956</v>
      </c>
    </row>
    <row r="48" spans="17:20" ht="13.5">
      <c r="Q48" s="72">
        <v>2.4</v>
      </c>
      <c r="R48" s="49">
        <f t="shared" si="1"/>
        <v>0.11142048501613239</v>
      </c>
      <c r="S48" s="49">
        <f t="shared" si="2"/>
        <v>0.02099474138878652</v>
      </c>
      <c r="T48" s="49">
        <f t="shared" si="3"/>
        <v>0.22500939154121252</v>
      </c>
    </row>
    <row r="49" spans="17:20" ht="13.5">
      <c r="Q49">
        <v>2.6</v>
      </c>
      <c r="R49" s="49">
        <f t="shared" si="1"/>
        <v>0.09048392867218452</v>
      </c>
      <c r="S49" s="49">
        <f t="shared" si="2"/>
        <v>0.015830412567516924</v>
      </c>
      <c r="T49" s="49">
        <f t="shared" si="3"/>
        <v>0.20433432642266652</v>
      </c>
    </row>
    <row r="50" spans="17:20" ht="13.5">
      <c r="Q50" s="72">
        <v>2.8</v>
      </c>
      <c r="R50" s="49">
        <f t="shared" si="1"/>
        <v>0.0740216861426668</v>
      </c>
      <c r="S50" s="49">
        <f t="shared" si="2"/>
        <v>0.012131273638733321</v>
      </c>
      <c r="T50" s="49">
        <f t="shared" si="3"/>
        <v>0.18484701697903702</v>
      </c>
    </row>
    <row r="51" spans="17:20" ht="13.5">
      <c r="Q51">
        <v>3</v>
      </c>
      <c r="R51" s="49">
        <f t="shared" si="1"/>
        <v>0.06098813480588314</v>
      </c>
      <c r="S51" s="49">
        <f t="shared" si="2"/>
        <v>0.00943231821639249</v>
      </c>
      <c r="T51" s="49">
        <f t="shared" si="3"/>
        <v>0.16681201035745577</v>
      </c>
    </row>
    <row r="52" spans="17:20" ht="13.5">
      <c r="Q52" s="72">
        <v>3.5</v>
      </c>
      <c r="R52" s="49">
        <f t="shared" si="1"/>
        <v>0.038699326190156855</v>
      </c>
      <c r="S52" s="49">
        <f t="shared" si="2"/>
        <v>0.005309107885055175</v>
      </c>
      <c r="T52" s="49">
        <f t="shared" si="3"/>
        <v>0.12847457615257074</v>
      </c>
    </row>
    <row r="53" spans="17:20" ht="13.5">
      <c r="Q53">
        <v>4</v>
      </c>
      <c r="R53" s="49">
        <f t="shared" si="1"/>
        <v>0.025504241489298154</v>
      </c>
      <c r="S53" s="49">
        <f t="shared" si="2"/>
        <v>0.0031865156711073867</v>
      </c>
      <c r="T53" s="49">
        <f t="shared" si="3"/>
        <v>0.0990195792208875</v>
      </c>
    </row>
    <row r="54" spans="17:20" ht="13.5">
      <c r="Q54" s="72">
        <v>4.5</v>
      </c>
      <c r="R54" s="49">
        <f t="shared" si="1"/>
        <v>0.017371775139501423</v>
      </c>
      <c r="S54" s="49">
        <f t="shared" si="2"/>
        <v>0.002013601887600647</v>
      </c>
      <c r="T54" s="49">
        <f t="shared" si="3"/>
        <v>0.0767462773428244</v>
      </c>
    </row>
    <row r="55" spans="17:20" ht="13.5">
      <c r="Q55">
        <v>5</v>
      </c>
      <c r="R55" s="49">
        <f t="shared" si="1"/>
        <v>0.012176343401866518</v>
      </c>
      <c r="S55" s="49">
        <f t="shared" si="2"/>
        <v>0.001327207177160704</v>
      </c>
      <c r="T55" s="49">
        <f t="shared" si="3"/>
        <v>0.0599539785457015</v>
      </c>
    </row>
    <row r="56" spans="17:21" ht="13.5">
      <c r="Q56" s="2">
        <f>U3</f>
        <v>0.3036983997617426</v>
      </c>
      <c r="S56" s="49"/>
      <c r="T56" s="49"/>
      <c r="U56">
        <v>0</v>
      </c>
    </row>
    <row r="57" spans="17:21" ht="13.5">
      <c r="Q57" s="2">
        <f>Q56</f>
        <v>0.3036983997617426</v>
      </c>
      <c r="R57" s="49"/>
      <c r="S57" s="49"/>
      <c r="T57" s="49"/>
      <c r="U57">
        <v>1.8</v>
      </c>
    </row>
    <row r="58" spans="17:20" ht="13.5">
      <c r="Q58" s="72"/>
      <c r="R58" s="49"/>
      <c r="S58" s="49"/>
      <c r="T58" s="49"/>
    </row>
    <row r="59" spans="17:21" ht="13.5">
      <c r="Q59" s="2">
        <f>V3</f>
        <v>3.676674964481208</v>
      </c>
      <c r="R59" s="49"/>
      <c r="S59" s="49"/>
      <c r="T59" s="49"/>
      <c r="U59">
        <v>0</v>
      </c>
    </row>
    <row r="60" spans="17:21" ht="13.5">
      <c r="Q60" s="2">
        <f>Q59</f>
        <v>3.676674964481208</v>
      </c>
      <c r="R60" s="49"/>
      <c r="S60" s="49"/>
      <c r="T60" s="49"/>
      <c r="U60">
        <v>0.5</v>
      </c>
    </row>
    <row r="61" spans="18:20" ht="13.5">
      <c r="R61" s="49"/>
      <c r="S61" s="49"/>
      <c r="T61" s="49"/>
    </row>
    <row r="62" spans="17:20" ht="13.5">
      <c r="Q62" s="72"/>
      <c r="R62" s="49"/>
      <c r="S62" s="49"/>
      <c r="T62" s="49"/>
    </row>
    <row r="63" spans="18:20" ht="13.5">
      <c r="R63" s="49"/>
      <c r="S63" s="49"/>
      <c r="T63" s="49"/>
    </row>
    <row r="64" spans="17:20" ht="13.5">
      <c r="Q64" s="72"/>
      <c r="R64" s="49"/>
      <c r="S64" s="49"/>
      <c r="T64" s="49"/>
    </row>
    <row r="65" spans="18:20" ht="13.5">
      <c r="R65" s="49"/>
      <c r="S65" s="49"/>
      <c r="T65" s="49"/>
    </row>
    <row r="66" spans="17:20" ht="13.5">
      <c r="Q66" s="72"/>
      <c r="R66" s="49"/>
      <c r="S66" s="49"/>
      <c r="T66" s="49"/>
    </row>
  </sheetData>
  <mergeCells count="3">
    <mergeCell ref="E2:G2"/>
    <mergeCell ref="E13:G13"/>
    <mergeCell ref="E20:G20"/>
  </mergeCells>
  <printOptions/>
  <pageMargins left="0.75" right="0.75" top="1" bottom="1" header="0.512" footer="0.512"/>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I17"/>
  <sheetViews>
    <sheetView zoomScale="75" zoomScaleNormal="75" workbookViewId="0" topLeftCell="A1">
      <selection activeCell="N17" sqref="N17"/>
    </sheetView>
  </sheetViews>
  <sheetFormatPr defaultColWidth="8.796875" defaultRowHeight="14.25"/>
  <cols>
    <col min="1" max="2" width="5" style="0" customWidth="1"/>
    <col min="3" max="3" width="6.5" style="0" customWidth="1"/>
    <col min="4" max="4" width="6.09765625" style="0" customWidth="1"/>
    <col min="8" max="8" width="10.59765625" style="0" customWidth="1"/>
    <col min="9" max="9" width="12.8984375" style="0" customWidth="1"/>
  </cols>
  <sheetData>
    <row r="1" spans="1:2" ht="13.5">
      <c r="A1" t="s">
        <v>259</v>
      </c>
      <c r="B1" t="s">
        <v>422</v>
      </c>
    </row>
    <row r="2" spans="1:7" ht="13.5">
      <c r="A2" s="39"/>
      <c r="B2" s="39"/>
      <c r="C2" s="39"/>
      <c r="D2" s="5"/>
      <c r="E2" s="159" t="s">
        <v>30</v>
      </c>
      <c r="F2" s="159"/>
      <c r="G2" s="159"/>
    </row>
    <row r="3" spans="1:7" ht="13.5">
      <c r="A3" s="4" t="s">
        <v>65</v>
      </c>
      <c r="B3" s="4" t="s">
        <v>66</v>
      </c>
      <c r="C3" s="4" t="s">
        <v>67</v>
      </c>
      <c r="D3" s="6" t="s">
        <v>68</v>
      </c>
      <c r="E3" s="26" t="s">
        <v>33</v>
      </c>
      <c r="F3" s="26" t="s">
        <v>34</v>
      </c>
      <c r="G3" s="26" t="s">
        <v>29</v>
      </c>
    </row>
    <row r="4" spans="1:9" ht="13.5">
      <c r="A4" s="39">
        <v>10</v>
      </c>
      <c r="B4" s="39">
        <v>8</v>
      </c>
      <c r="C4" s="39">
        <v>0.05</v>
      </c>
      <c r="D4" s="5">
        <v>0.6</v>
      </c>
      <c r="E4" s="55">
        <f>NTDIST(TINV(C4*2,A4+B4-2),A4+B4-2,D4*SQRT(A4*B4/(A4+B4)))</f>
        <v>0.3323565105353914</v>
      </c>
      <c r="F4" s="12">
        <f>NTDIST(TINV(C4*2,A4+B4-2),A4+B4-2,-D4*SQRT(A4*B4/(A4+B4)))</f>
        <v>0.002127993625700597</v>
      </c>
      <c r="G4" s="58">
        <f>NTDIST(TINV(C4,A4+B4-2),A4+B4-2,D4*SQRT(A4*B4/(A4+B4)))+NTDIST(TINV(C4,A4+B4-2),A4+B4-2,-D4*SQRT(A4*B4/(A4+B4)))</f>
        <v>0.2214265652367211</v>
      </c>
      <c r="I4" t="s">
        <v>197</v>
      </c>
    </row>
    <row r="5" spans="1:9" ht="13.5">
      <c r="A5" s="30">
        <v>10</v>
      </c>
      <c r="B5" s="30">
        <v>8</v>
      </c>
      <c r="C5" s="30">
        <v>0.05</v>
      </c>
      <c r="D5" s="8">
        <v>-0.6</v>
      </c>
      <c r="E5" s="59">
        <f>NTDIST(TINV(C5*2,A5+B5-2),A5+B5-2,D5*SQRT(A5*B5/(A5+B5)))</f>
        <v>0.002127993625700597</v>
      </c>
      <c r="F5" s="56">
        <f>NTDIST(TINV(C5*2,A5+B5-2),A5+B5-2,-D5*SQRT(A5*B5/(A5+B5)))</f>
        <v>0.3323565105353914</v>
      </c>
      <c r="G5" s="59">
        <f>NTDIST(TINV(C5,A5+B5-2),A5+B5-2,D5*SQRT(A5*B5/(A5+B5)))+NTDIST(TINV(C5,A5+B5-2),A5+B5-2,-D5*SQRT(A5*B5/(A5+B5)))</f>
        <v>0.2214265652367211</v>
      </c>
      <c r="I5" t="s">
        <v>198</v>
      </c>
    </row>
    <row r="6" spans="1:9" ht="13.5">
      <c r="A6" s="40">
        <v>10</v>
      </c>
      <c r="B6" s="40">
        <v>8</v>
      </c>
      <c r="C6" s="40">
        <v>0.05</v>
      </c>
      <c r="D6" s="16">
        <v>0.6</v>
      </c>
      <c r="E6" s="60">
        <f>NTDIST(TINV(C6*2,A6+B6-2),A6+B6-2,D6*SQRT(A6*B6/(A6+B6)))</f>
        <v>0.3323565105353914</v>
      </c>
      <c r="F6" s="15">
        <f>NTDIST(TINV(C6*2,A6+B6-2),A6+B6-2,-D6*SQRT(A6*B6/(A6+B6)))</f>
        <v>0.002127993625700597</v>
      </c>
      <c r="G6" s="57">
        <f>NTDIST(TINV(C6,A6+B6-2),A6+B6-2,D6*SQRT(A6*B6/(A6+B6)))+NTDIST(TINV(C6,A6+B6-2),A6+B6-2,-D6*SQRT(A6*B6/(A6+B6)))</f>
        <v>0.2214265652367211</v>
      </c>
      <c r="I6" t="s">
        <v>196</v>
      </c>
    </row>
    <row r="8" spans="1:2" ht="13.5">
      <c r="A8" t="s">
        <v>75</v>
      </c>
      <c r="B8" s="35" t="s">
        <v>77</v>
      </c>
    </row>
    <row r="9" spans="1:2" ht="13.5">
      <c r="A9" t="s">
        <v>74</v>
      </c>
      <c r="B9" s="35" t="s">
        <v>76</v>
      </c>
    </row>
    <row r="10" spans="1:2" ht="13.5">
      <c r="A10" t="s">
        <v>73</v>
      </c>
      <c r="B10" s="35" t="s">
        <v>194</v>
      </c>
    </row>
    <row r="11" ht="13.5">
      <c r="B11" s="35" t="s">
        <v>195</v>
      </c>
    </row>
    <row r="12" ht="13.5">
      <c r="B12" s="35"/>
    </row>
    <row r="13" spans="1:7" ht="13.5">
      <c r="A13" s="39"/>
      <c r="B13" s="39"/>
      <c r="C13" s="39"/>
      <c r="D13" s="5"/>
      <c r="E13" s="159" t="s">
        <v>30</v>
      </c>
      <c r="F13" s="159"/>
      <c r="G13" s="159"/>
    </row>
    <row r="14" spans="1:7" ht="13.5">
      <c r="A14" s="4" t="s">
        <v>65</v>
      </c>
      <c r="B14" s="4" t="s">
        <v>66</v>
      </c>
      <c r="C14" s="4" t="s">
        <v>67</v>
      </c>
      <c r="D14" s="6" t="s">
        <v>68</v>
      </c>
      <c r="E14" s="26" t="s">
        <v>33</v>
      </c>
      <c r="F14" s="26" t="s">
        <v>34</v>
      </c>
      <c r="G14" s="26" t="s">
        <v>29</v>
      </c>
    </row>
    <row r="15" spans="1:9" ht="14.25">
      <c r="A15" s="52">
        <v>11</v>
      </c>
      <c r="B15" s="39">
        <f>A15</f>
        <v>11</v>
      </c>
      <c r="C15" s="39">
        <v>0.05</v>
      </c>
      <c r="D15" s="11">
        <v>1.5</v>
      </c>
      <c r="E15" s="55">
        <f>NTDIST(TINV(C15*2,A15+B15-2),A15+B15-2,D15*SQRT(A15*B15/(A15+B15)))</f>
        <v>0.9599716284763049</v>
      </c>
      <c r="F15" s="12">
        <f>NTDIST(TINV(C15*2,A15+B15-2),A15+B15-2,-D15*SQRT(A15*B15/(A15+B15)))</f>
        <v>2.5980930806746017E-07</v>
      </c>
      <c r="G15" s="58">
        <f>NTDIST(TINV(C15,A15+B15-2),A15+B15-2,D15*SQRT(A15*B15/(A15+B15)))+NTDIST(TINV(C15,A15+B15-2),A15+B15-2,-D15*SQRT(A15*B15/(A15+B15)))</f>
        <v>0.9168992920406835</v>
      </c>
      <c r="H15" s="44"/>
      <c r="I15" t="s">
        <v>200</v>
      </c>
    </row>
    <row r="16" spans="1:9" ht="14.25">
      <c r="A16" s="53">
        <v>10</v>
      </c>
      <c r="B16" s="30">
        <f>A16</f>
        <v>10</v>
      </c>
      <c r="C16" s="30">
        <v>0.05</v>
      </c>
      <c r="D16" s="7">
        <v>-1.2</v>
      </c>
      <c r="E16" s="59">
        <f>NTDIST(TINV(C16*2,A16+B16-2),A16+B16-2,D16*SQRT(A16*B16/(A16+B16)))</f>
        <v>1.1564730425073222E-05</v>
      </c>
      <c r="F16" s="56">
        <f>NTDIST(TINV(C16*2,A16+B16-2),A16+B16-2,-D16*SQRT(A16*B16/(A16+B16)))</f>
        <v>0.8252225461850031</v>
      </c>
      <c r="G16" s="59">
        <f>NTDIST(TINV(C16,A16+B16-2),A16+B16-2,D16*SQRT(A16*B16/(A16+B16)))+NTDIST(TINV(C16,A16+B16-2),A16+B16-2,-D16*SQRT(A16*B16/(A16+B16)))</f>
        <v>0.7184048501052986</v>
      </c>
      <c r="H16" s="44"/>
      <c r="I16" t="s">
        <v>201</v>
      </c>
    </row>
    <row r="17" spans="1:9" ht="14.25">
      <c r="A17" s="54">
        <v>22</v>
      </c>
      <c r="B17" s="40">
        <f>A17</f>
        <v>22</v>
      </c>
      <c r="C17" s="40">
        <v>0.05</v>
      </c>
      <c r="D17" s="14">
        <v>1</v>
      </c>
      <c r="E17" s="60">
        <f>NTDIST(TINV(C17*2,A17+B17-2),A17+B17-2,D17*SQRT(A17*B17/(A17+B17)))</f>
        <v>0.9471282462280216</v>
      </c>
      <c r="F17" s="15">
        <f>NTDIST(TINV(C17*2,A17+B17-2),A17+B17-2,-D17*SQRT(A17*B17/(A17+B17)))</f>
        <v>5.165467359402598E-07</v>
      </c>
      <c r="G17" s="57">
        <f>NTDIST(TINV(C17,A17+B17-2),A17+B17-2,D17*SQRT(A17*B17/(A17+B17)))+NTDIST(TINV(C17,A17+B17-2),A17+B17-2,-D17*SQRT(A17*B17/(A17+B17)))</f>
        <v>0.8997136329721749</v>
      </c>
      <c r="H17" s="44"/>
      <c r="I17" t="s">
        <v>199</v>
      </c>
    </row>
  </sheetData>
  <mergeCells count="2">
    <mergeCell ref="E2:G2"/>
    <mergeCell ref="E13:G13"/>
  </mergeCells>
  <printOptions/>
  <pageMargins left="0.75" right="0.75" top="1" bottom="1" header="0.512" footer="0.512"/>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10"/>
  <dimension ref="A1:V24"/>
  <sheetViews>
    <sheetView zoomScale="75" zoomScaleNormal="75" workbookViewId="0" topLeftCell="A1">
      <selection activeCell="A1" sqref="A1:B1"/>
    </sheetView>
  </sheetViews>
  <sheetFormatPr defaultColWidth="8.796875" defaultRowHeight="14.25"/>
  <cols>
    <col min="1" max="1" width="4.5" style="0" customWidth="1"/>
    <col min="2" max="2" width="5.5" style="0" customWidth="1"/>
    <col min="3" max="5" width="4.5" style="0" customWidth="1"/>
    <col min="6" max="6" width="5.3984375" style="0" customWidth="1"/>
    <col min="7" max="7" width="4.8984375" style="0" customWidth="1"/>
    <col min="8" max="8" width="3" style="0" bestFit="1" customWidth="1"/>
    <col min="9" max="9" width="3.3984375" style="0" customWidth="1"/>
    <col min="10" max="10" width="6.69921875" style="0" customWidth="1"/>
    <col min="11" max="11" width="6" style="0" bestFit="1" customWidth="1"/>
    <col min="12" max="12" width="5.09765625" style="0" customWidth="1"/>
    <col min="13" max="13" width="10.09765625" style="0" customWidth="1"/>
    <col min="14" max="14" width="9.69921875" style="0" customWidth="1"/>
    <col min="15" max="15" width="13.09765625" style="0" customWidth="1"/>
  </cols>
  <sheetData>
    <row r="1" spans="1:6" ht="13.5">
      <c r="A1" t="s">
        <v>282</v>
      </c>
      <c r="B1" t="s">
        <v>423</v>
      </c>
      <c r="F1" s="30"/>
    </row>
    <row r="2" spans="1:13" s="3" customFormat="1" ht="13.5">
      <c r="A2" s="26" t="s">
        <v>150</v>
      </c>
      <c r="B2" s="26" t="s">
        <v>151</v>
      </c>
      <c r="C2" s="26" t="s">
        <v>152</v>
      </c>
      <c r="D2" s="26" t="s">
        <v>153</v>
      </c>
      <c r="E2" s="41" t="s">
        <v>154</v>
      </c>
      <c r="F2" s="26" t="s">
        <v>168</v>
      </c>
      <c r="G2" s="26" t="s">
        <v>67</v>
      </c>
      <c r="H2" s="26" t="s">
        <v>156</v>
      </c>
      <c r="I2" s="26" t="s">
        <v>157</v>
      </c>
      <c r="J2" s="41" t="s">
        <v>159</v>
      </c>
      <c r="K2" s="26" t="s">
        <v>113</v>
      </c>
      <c r="L2" s="26" t="s">
        <v>155</v>
      </c>
      <c r="M2" s="26" t="s">
        <v>30</v>
      </c>
    </row>
    <row r="3" spans="1:15" ht="13.5">
      <c r="A3" s="38">
        <v>10</v>
      </c>
      <c r="B3" s="38">
        <v>11.6</v>
      </c>
      <c r="C3" s="38">
        <v>12</v>
      </c>
      <c r="D3" s="38"/>
      <c r="E3" s="9"/>
      <c r="F3" s="38">
        <f>DEVSQ(A3:E3)</f>
        <v>2.2399999999999998</v>
      </c>
      <c r="G3" s="38">
        <v>0.05</v>
      </c>
      <c r="H3" s="38">
        <v>3</v>
      </c>
      <c r="I3" s="38">
        <v>5</v>
      </c>
      <c r="J3" s="28">
        <f>SQRT(2)</f>
        <v>1.4142135623730951</v>
      </c>
      <c r="K3" s="38">
        <f>F3/J3^2</f>
        <v>1.1199999999999997</v>
      </c>
      <c r="L3" s="38">
        <f>I3*K3</f>
        <v>5.599999999999998</v>
      </c>
      <c r="M3" s="10">
        <f>Ncdist(CHIINV(G3,H3-1),H3-1,L3)</f>
        <v>0.5529256076352778</v>
      </c>
      <c r="O3" t="s">
        <v>160</v>
      </c>
    </row>
    <row r="4" spans="6:13" ht="13.5">
      <c r="F4" s="30"/>
      <c r="J4" s="2"/>
      <c r="M4" s="1"/>
    </row>
    <row r="5" spans="1:13" ht="13.5">
      <c r="A5" s="38"/>
      <c r="B5" s="38"/>
      <c r="C5" s="38"/>
      <c r="D5" s="38"/>
      <c r="E5" s="41" t="s">
        <v>158</v>
      </c>
      <c r="F5" s="26" t="s">
        <v>168</v>
      </c>
      <c r="G5" s="26" t="s">
        <v>67</v>
      </c>
      <c r="H5" s="26" t="s">
        <v>156</v>
      </c>
      <c r="I5" s="26" t="s">
        <v>157</v>
      </c>
      <c r="J5" s="41" t="s">
        <v>159</v>
      </c>
      <c r="K5" s="26" t="s">
        <v>113</v>
      </c>
      <c r="L5" s="26" t="s">
        <v>155</v>
      </c>
      <c r="M5" s="26" t="s">
        <v>30</v>
      </c>
    </row>
    <row r="6" spans="1:15" ht="13.5">
      <c r="A6" s="39"/>
      <c r="B6" s="39"/>
      <c r="C6" s="39"/>
      <c r="D6" s="39"/>
      <c r="E6" s="5">
        <v>0</v>
      </c>
      <c r="F6" s="114">
        <f>E6^2/2</f>
        <v>0</v>
      </c>
      <c r="G6" s="39">
        <v>0.05</v>
      </c>
      <c r="H6" s="39">
        <v>3</v>
      </c>
      <c r="I6" s="39">
        <v>5</v>
      </c>
      <c r="J6" s="24">
        <f>SQRT(2)</f>
        <v>1.4142135623730951</v>
      </c>
      <c r="K6" s="43">
        <f>F6/J6^2</f>
        <v>0</v>
      </c>
      <c r="L6" s="114">
        <f>I6*K6</f>
        <v>0</v>
      </c>
      <c r="M6" s="12">
        <f>Ncdist(CHIINV(G6,H6-1),H6-1,L6)</f>
        <v>0.04999970476001096</v>
      </c>
      <c r="O6" t="s">
        <v>161</v>
      </c>
    </row>
    <row r="7" spans="1:20" ht="13.5">
      <c r="A7" s="39"/>
      <c r="B7" s="39"/>
      <c r="C7" s="39"/>
      <c r="D7" s="39"/>
      <c r="E7" s="5">
        <v>2</v>
      </c>
      <c r="F7" s="114">
        <f>E7^2/2</f>
        <v>2</v>
      </c>
      <c r="G7" s="39">
        <v>0.05</v>
      </c>
      <c r="H7" s="39">
        <v>6</v>
      </c>
      <c r="I7" s="39">
        <v>5</v>
      </c>
      <c r="J7" s="24">
        <f>SQRT(2)</f>
        <v>1.4142135623730951</v>
      </c>
      <c r="K7" s="43">
        <f>F7/J7^2</f>
        <v>0.9999999999999998</v>
      </c>
      <c r="L7" s="114">
        <f>I7*K7</f>
        <v>4.999999999999999</v>
      </c>
      <c r="M7" s="12">
        <f>Ncdist(CHIINV(G7,H7-1),H7-1,L7)</f>
        <v>0.36267836809350446</v>
      </c>
      <c r="O7" t="s">
        <v>202</v>
      </c>
      <c r="R7" t="s">
        <v>182</v>
      </c>
      <c r="S7" t="s">
        <v>183</v>
      </c>
      <c r="T7" t="s">
        <v>168</v>
      </c>
    </row>
    <row r="8" spans="1:22" ht="13.5">
      <c r="A8" s="40"/>
      <c r="B8" s="40"/>
      <c r="C8" s="40"/>
      <c r="D8" s="40"/>
      <c r="E8" s="16">
        <v>2</v>
      </c>
      <c r="F8" s="115">
        <f>H8*(H8+1)/(12*(H8-1))*E8^2</f>
        <v>2.8</v>
      </c>
      <c r="G8" s="40">
        <v>0.05</v>
      </c>
      <c r="H8" s="40">
        <v>6</v>
      </c>
      <c r="I8" s="40">
        <v>5</v>
      </c>
      <c r="J8" s="25">
        <f>SQRT(2)</f>
        <v>1.4142135623730951</v>
      </c>
      <c r="K8" s="70">
        <f>F8/J8^2</f>
        <v>1.3999999999999997</v>
      </c>
      <c r="L8" s="115">
        <f>I8*K8</f>
        <v>6.999999999999998</v>
      </c>
      <c r="M8" s="15">
        <f>Ncdist(CHIINV(G8,H8-1),H8-1,L8)</f>
        <v>0.5005772599662924</v>
      </c>
      <c r="R8">
        <v>2</v>
      </c>
      <c r="S8" s="17">
        <f>R8*(R8+1)/(12*(R8-1))</f>
        <v>0.5</v>
      </c>
      <c r="T8">
        <f>S8*(R8-1)^2</f>
        <v>0.5</v>
      </c>
      <c r="U8">
        <v>1</v>
      </c>
      <c r="V8">
        <f>(U8-AVERAGE($U$8:$U$14))/((MAX($U$8:$U$14)-MIN($U$8:$U$14)))</f>
        <v>-0.5</v>
      </c>
    </row>
    <row r="9" spans="1:22" ht="13.5">
      <c r="A9" s="30"/>
      <c r="B9" s="30"/>
      <c r="C9" s="30"/>
      <c r="D9" s="30"/>
      <c r="E9" s="30"/>
      <c r="F9" s="30"/>
      <c r="G9" s="30"/>
      <c r="H9" s="30"/>
      <c r="I9" s="30"/>
      <c r="J9" s="37"/>
      <c r="K9" s="37"/>
      <c r="L9" s="23"/>
      <c r="M9" s="13"/>
      <c r="R9">
        <v>3</v>
      </c>
      <c r="S9" s="17">
        <f aca="true" t="shared" si="0" ref="S9:S16">R9*(R9+1)/(12*(R9-1))</f>
        <v>0.5</v>
      </c>
      <c r="T9">
        <f aca="true" t="shared" si="1" ref="T9:T16">S9*(R9-1)^2</f>
        <v>2</v>
      </c>
      <c r="U9">
        <v>2</v>
      </c>
      <c r="V9">
        <f>(U9-AVERAGE($U$8:$U$14))/((MAX($U$8:$U$14)-MIN($U$8:$U$14)))</f>
        <v>-0.25</v>
      </c>
    </row>
    <row r="10" spans="1:22" ht="13.5">
      <c r="A10" s="30" t="s">
        <v>169</v>
      </c>
      <c r="B10" s="116" t="s">
        <v>170</v>
      </c>
      <c r="C10" s="30"/>
      <c r="D10" s="30"/>
      <c r="E10" s="30"/>
      <c r="F10" s="30"/>
      <c r="J10" s="30" t="s">
        <v>174</v>
      </c>
      <c r="K10" s="116" t="s">
        <v>177</v>
      </c>
      <c r="L10" s="23"/>
      <c r="M10" s="13"/>
      <c r="R10">
        <v>4</v>
      </c>
      <c r="S10" s="17">
        <f t="shared" si="0"/>
        <v>0.5555555555555556</v>
      </c>
      <c r="T10">
        <f t="shared" si="1"/>
        <v>5</v>
      </c>
      <c r="U10">
        <v>3</v>
      </c>
      <c r="V10">
        <f>(U10-AVERAGE($U$8:$U$14))/((MAX($U$8:$U$14)-MIN($U$8:$U$14)))</f>
        <v>0</v>
      </c>
    </row>
    <row r="11" spans="1:22" ht="13.5">
      <c r="A11" s="30" t="s">
        <v>171</v>
      </c>
      <c r="B11" s="116" t="s">
        <v>172</v>
      </c>
      <c r="C11" s="30"/>
      <c r="D11" s="30"/>
      <c r="E11" s="30"/>
      <c r="F11" s="30"/>
      <c r="J11" s="30" t="s">
        <v>175</v>
      </c>
      <c r="K11" s="116" t="s">
        <v>178</v>
      </c>
      <c r="L11" s="23"/>
      <c r="M11" s="13"/>
      <c r="R11">
        <v>5</v>
      </c>
      <c r="S11" s="17">
        <f t="shared" si="0"/>
        <v>0.625</v>
      </c>
      <c r="T11">
        <f t="shared" si="1"/>
        <v>10</v>
      </c>
      <c r="U11">
        <v>4</v>
      </c>
      <c r="V11">
        <f>(U11-AVERAGE($U$8:$U$14))/((MAX($U$8:$U$14)-MIN($U$8:$U$14)))</f>
        <v>0.25</v>
      </c>
    </row>
    <row r="12" spans="1:22" ht="13.5">
      <c r="A12" s="30" t="s">
        <v>203</v>
      </c>
      <c r="B12" s="116" t="s">
        <v>204</v>
      </c>
      <c r="C12" s="30"/>
      <c r="D12" s="30"/>
      <c r="E12" s="30"/>
      <c r="F12" s="30"/>
      <c r="J12" s="117" t="s">
        <v>176</v>
      </c>
      <c r="K12" s="116" t="s">
        <v>173</v>
      </c>
      <c r="L12" s="23"/>
      <c r="M12" s="13"/>
      <c r="R12">
        <v>6</v>
      </c>
      <c r="S12" s="17">
        <f t="shared" si="0"/>
        <v>0.7</v>
      </c>
      <c r="T12">
        <f t="shared" si="1"/>
        <v>17.5</v>
      </c>
      <c r="U12">
        <v>5</v>
      </c>
      <c r="V12">
        <f>(U12-AVERAGE($U$8:$U$14))/((MAX($U$8:$U$14)-MIN($U$8:$U$14)))</f>
        <v>0.5</v>
      </c>
    </row>
    <row r="13" spans="1:20" ht="13.5">
      <c r="A13" s="30"/>
      <c r="B13" s="30"/>
      <c r="C13" s="30"/>
      <c r="D13" s="30"/>
      <c r="E13" s="30"/>
      <c r="F13" s="30"/>
      <c r="G13" s="30"/>
      <c r="H13" s="30"/>
      <c r="I13" s="30"/>
      <c r="J13" s="37"/>
      <c r="K13" s="37"/>
      <c r="L13" s="23"/>
      <c r="M13" s="13"/>
      <c r="R13">
        <v>7</v>
      </c>
      <c r="S13" s="17">
        <f t="shared" si="0"/>
        <v>0.7777777777777778</v>
      </c>
      <c r="T13">
        <f t="shared" si="1"/>
        <v>28</v>
      </c>
    </row>
    <row r="14" spans="1:20" ht="15" thickBot="1">
      <c r="A14" s="39"/>
      <c r="B14" s="39"/>
      <c r="C14" s="39"/>
      <c r="D14" s="39"/>
      <c r="E14" s="21" t="s">
        <v>158</v>
      </c>
      <c r="F14" s="42" t="s">
        <v>168</v>
      </c>
      <c r="G14" s="42" t="s">
        <v>67</v>
      </c>
      <c r="H14" s="42" t="s">
        <v>156</v>
      </c>
      <c r="I14" s="42" t="s">
        <v>157</v>
      </c>
      <c r="J14" s="21" t="s">
        <v>159</v>
      </c>
      <c r="K14" s="42" t="s">
        <v>113</v>
      </c>
      <c r="L14" s="42" t="s">
        <v>155</v>
      </c>
      <c r="M14" s="42" t="s">
        <v>30</v>
      </c>
      <c r="R14">
        <v>8</v>
      </c>
      <c r="S14" s="17">
        <f t="shared" si="0"/>
        <v>0.8571428571428571</v>
      </c>
      <c r="T14">
        <f t="shared" si="1"/>
        <v>42</v>
      </c>
    </row>
    <row r="15" spans="1:20" ht="15" thickBot="1">
      <c r="A15" s="39"/>
      <c r="B15" s="39"/>
      <c r="C15" s="39"/>
      <c r="D15" s="39"/>
      <c r="E15" s="5">
        <v>2</v>
      </c>
      <c r="F15" s="114">
        <f>E15^2/2</f>
        <v>2</v>
      </c>
      <c r="G15" s="39">
        <v>0.05</v>
      </c>
      <c r="H15" s="39">
        <v>4</v>
      </c>
      <c r="I15" s="120">
        <v>8</v>
      </c>
      <c r="J15" s="24">
        <v>1</v>
      </c>
      <c r="K15" s="43">
        <f>F15/J15^2</f>
        <v>2</v>
      </c>
      <c r="L15" s="114">
        <f>I15*K15</f>
        <v>16</v>
      </c>
      <c r="M15" s="12">
        <f>Ncdist(CHIINV(G15,H15-1),H15-1,L15)</f>
        <v>0.934088818168013</v>
      </c>
      <c r="N15" s="44"/>
      <c r="O15" t="s">
        <v>162</v>
      </c>
      <c r="R15">
        <v>9</v>
      </c>
      <c r="S15" s="17">
        <f t="shared" si="0"/>
        <v>0.9375</v>
      </c>
      <c r="T15">
        <f t="shared" si="1"/>
        <v>60</v>
      </c>
    </row>
    <row r="16" spans="1:22" ht="15" thickBot="1">
      <c r="A16" s="40"/>
      <c r="B16" s="40"/>
      <c r="C16" s="40"/>
      <c r="D16" s="40"/>
      <c r="E16" s="16">
        <v>3</v>
      </c>
      <c r="F16" s="115">
        <f>E16^2/2</f>
        <v>4.5</v>
      </c>
      <c r="G16" s="40">
        <v>0.01</v>
      </c>
      <c r="H16" s="40">
        <v>5</v>
      </c>
      <c r="I16" s="120">
        <v>12</v>
      </c>
      <c r="J16" s="25">
        <f>SQRT(3)</f>
        <v>1.7320508075688772</v>
      </c>
      <c r="K16" s="70">
        <f>F16/J16^2</f>
        <v>1.5000000000000002</v>
      </c>
      <c r="L16" s="115">
        <f>I16*K16</f>
        <v>18.000000000000004</v>
      </c>
      <c r="M16" s="15">
        <f>Ncdist(CHIINV(G16,H16-1),H16-1,L16)</f>
        <v>0.8375431019232381</v>
      </c>
      <c r="N16" s="44"/>
      <c r="O16" t="s">
        <v>163</v>
      </c>
      <c r="R16">
        <v>10</v>
      </c>
      <c r="S16" s="17">
        <f t="shared" si="0"/>
        <v>1.0185185185185186</v>
      </c>
      <c r="T16">
        <f t="shared" si="1"/>
        <v>82.5</v>
      </c>
      <c r="U16">
        <f>DEVSQ(U8:U14)</f>
        <v>10</v>
      </c>
      <c r="V16">
        <f>DEVSQ(V8:V14)</f>
        <v>0.625</v>
      </c>
    </row>
    <row r="17" spans="1:19" ht="15" thickBot="1">
      <c r="A17" s="40"/>
      <c r="B17" s="40"/>
      <c r="C17" s="40"/>
      <c r="D17" s="40"/>
      <c r="E17" s="16">
        <v>3</v>
      </c>
      <c r="F17" s="115">
        <f>H17*(H17+1)/(12*(H17-1))*E17^2</f>
        <v>5.625</v>
      </c>
      <c r="G17" s="40">
        <v>0.01</v>
      </c>
      <c r="H17" s="40">
        <v>5</v>
      </c>
      <c r="I17" s="120">
        <v>9</v>
      </c>
      <c r="J17" s="25">
        <f>SQRT(3)</f>
        <v>1.7320508075688772</v>
      </c>
      <c r="K17" s="70">
        <f>F17/J17^2</f>
        <v>1.8750000000000002</v>
      </c>
      <c r="L17" s="115">
        <f>I17*K17</f>
        <v>16.875000000000004</v>
      </c>
      <c r="M17" s="15">
        <f>Ncdist(CHIINV(G17,H17-1),H17-1,L17)</f>
        <v>0.8040547576425408</v>
      </c>
      <c r="O17" t="s">
        <v>202</v>
      </c>
      <c r="S17" s="1"/>
    </row>
    <row r="18" ht="13.5">
      <c r="S18" s="1"/>
    </row>
    <row r="19" ht="13.5">
      <c r="S19" s="1"/>
    </row>
    <row r="20" ht="13.5">
      <c r="S20" s="1"/>
    </row>
    <row r="21" ht="13.5">
      <c r="S21" s="1"/>
    </row>
    <row r="22" ht="13.5">
      <c r="S22" s="1"/>
    </row>
    <row r="23" ht="13.5">
      <c r="S23" s="1"/>
    </row>
    <row r="24" ht="13.5">
      <c r="S24" s="1"/>
    </row>
  </sheetData>
  <printOptions/>
  <pageMargins left="0.75" right="0.75" top="1" bottom="1" header="0.512" footer="0.512"/>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11"/>
  <dimension ref="A1:AB45"/>
  <sheetViews>
    <sheetView zoomScale="75" zoomScaleNormal="75" workbookViewId="0" topLeftCell="C1">
      <selection activeCell="Q2" sqref="Q2:AB6"/>
    </sheetView>
  </sheetViews>
  <sheetFormatPr defaultColWidth="8.796875" defaultRowHeight="14.25"/>
  <cols>
    <col min="1" max="1" width="5" style="0" bestFit="1" customWidth="1"/>
    <col min="2" max="2" width="4.69921875" style="0" customWidth="1"/>
    <col min="3" max="3" width="3.8984375" style="0" customWidth="1"/>
    <col min="4" max="4" width="3.69921875" style="0" customWidth="1"/>
    <col min="5" max="5" width="5.5" style="0" customWidth="1"/>
    <col min="6" max="6" width="5.09765625" style="0" customWidth="1"/>
    <col min="7" max="7" width="4.8984375" style="0" customWidth="1"/>
    <col min="8" max="8" width="3" style="0" bestFit="1" customWidth="1"/>
    <col min="9" max="9" width="4" style="0" bestFit="1" customWidth="1"/>
    <col min="10" max="10" width="7.3984375" style="0" customWidth="1"/>
    <col min="11" max="11" width="6" style="0" bestFit="1" customWidth="1"/>
    <col min="12" max="12" width="5.09765625" style="0" customWidth="1"/>
    <col min="13" max="13" width="7.69921875" style="0" customWidth="1"/>
    <col min="14" max="14" width="5.09765625" style="0" customWidth="1"/>
    <col min="15" max="15" width="14" style="0" customWidth="1"/>
    <col min="17" max="17" width="3.69921875" style="0" customWidth="1"/>
    <col min="18" max="18" width="4.5" style="0" customWidth="1"/>
    <col min="19" max="19" width="4.8984375" style="0" customWidth="1"/>
    <col min="20" max="20" width="3" style="0" bestFit="1" customWidth="1"/>
    <col min="21" max="21" width="3.3984375" style="0" customWidth="1"/>
    <col min="22" max="23" width="6" style="0" bestFit="1" customWidth="1"/>
    <col min="24" max="24" width="5.09765625" style="0" customWidth="1"/>
    <col min="25" max="26" width="7" style="0" bestFit="1" customWidth="1"/>
    <col min="27" max="27" width="10.3984375" style="0" customWidth="1"/>
    <col min="28" max="28" width="14.09765625" style="0" customWidth="1"/>
  </cols>
  <sheetData>
    <row r="1" spans="1:6" ht="13.5">
      <c r="A1" t="s">
        <v>283</v>
      </c>
      <c r="B1" t="s">
        <v>424</v>
      </c>
      <c r="F1" s="30"/>
    </row>
    <row r="2" spans="1:26" ht="13.5">
      <c r="A2" s="26" t="s">
        <v>150</v>
      </c>
      <c r="B2" s="26" t="s">
        <v>151</v>
      </c>
      <c r="C2" s="26" t="s">
        <v>152</v>
      </c>
      <c r="D2" s="26" t="s">
        <v>153</v>
      </c>
      <c r="E2" s="41" t="s">
        <v>154</v>
      </c>
      <c r="F2" s="26" t="s">
        <v>168</v>
      </c>
      <c r="G2" s="26" t="s">
        <v>67</v>
      </c>
      <c r="H2" s="26" t="s">
        <v>156</v>
      </c>
      <c r="I2" s="26" t="s">
        <v>157</v>
      </c>
      <c r="J2" s="41" t="s">
        <v>159</v>
      </c>
      <c r="K2" s="26" t="s">
        <v>113</v>
      </c>
      <c r="L2" s="26" t="s">
        <v>155</v>
      </c>
      <c r="M2" s="26" t="s">
        <v>30</v>
      </c>
      <c r="N2" s="3"/>
      <c r="O2" s="3"/>
      <c r="Q2" s="39"/>
      <c r="R2" s="39"/>
      <c r="S2" s="39"/>
      <c r="T2" s="39"/>
      <c r="U2" s="39"/>
      <c r="V2" s="5"/>
      <c r="W2" s="39"/>
      <c r="X2" s="5"/>
      <c r="Y2" s="159" t="s">
        <v>30</v>
      </c>
      <c r="Z2" s="159"/>
    </row>
    <row r="3" spans="1:26" ht="13.5">
      <c r="A3" s="38">
        <v>10</v>
      </c>
      <c r="B3" s="38">
        <v>11.6</v>
      </c>
      <c r="C3" s="38">
        <v>12</v>
      </c>
      <c r="D3" s="38"/>
      <c r="E3" s="9"/>
      <c r="F3" s="38">
        <f>DEVSQ(A3:E3)</f>
        <v>2.2399999999999998</v>
      </c>
      <c r="G3" s="38">
        <v>0.05</v>
      </c>
      <c r="H3" s="38">
        <v>3</v>
      </c>
      <c r="I3" s="38">
        <v>5</v>
      </c>
      <c r="J3" s="28">
        <f>SQRT(2)</f>
        <v>1.4142135623730951</v>
      </c>
      <c r="K3" s="38">
        <f>F3/J3^2</f>
        <v>1.1199999999999997</v>
      </c>
      <c r="L3" s="38">
        <f>I3*K3</f>
        <v>5.599999999999998</v>
      </c>
      <c r="M3" s="10">
        <f>NFDIST(FINV(G3,H3-1,H3*(I3-1)),H3-1,H3*(I3-1),L3)</f>
        <v>0.44728183569121893</v>
      </c>
      <c r="O3" t="s">
        <v>164</v>
      </c>
      <c r="Q3" s="4" t="s">
        <v>158</v>
      </c>
      <c r="R3" s="4" t="s">
        <v>168</v>
      </c>
      <c r="S3" s="4" t="s">
        <v>67</v>
      </c>
      <c r="T3" s="4" t="s">
        <v>156</v>
      </c>
      <c r="U3" s="4" t="s">
        <v>157</v>
      </c>
      <c r="V3" s="6" t="s">
        <v>159</v>
      </c>
      <c r="W3" s="4" t="s">
        <v>113</v>
      </c>
      <c r="X3" s="6" t="s">
        <v>155</v>
      </c>
      <c r="Y3" s="121" t="s">
        <v>181</v>
      </c>
      <c r="Z3" s="26" t="s">
        <v>180</v>
      </c>
    </row>
    <row r="4" spans="6:28" ht="14.25">
      <c r="F4" s="30"/>
      <c r="J4" s="2"/>
      <c r="M4" s="1"/>
      <c r="Q4">
        <v>2</v>
      </c>
      <c r="R4" s="114">
        <f>Q4^2/2</f>
        <v>2</v>
      </c>
      <c r="S4" s="39">
        <v>0.05</v>
      </c>
      <c r="T4" s="39">
        <v>3</v>
      </c>
      <c r="U4" s="38">
        <v>5</v>
      </c>
      <c r="V4" s="47">
        <f>SQRT(2)</f>
        <v>1.4142135623730951</v>
      </c>
      <c r="W4" s="43">
        <f>R4/V4^2</f>
        <v>0.9999999999999998</v>
      </c>
      <c r="X4" s="11">
        <f>U4*W4</f>
        <v>4.999999999999999</v>
      </c>
      <c r="Y4" s="12">
        <f>Ncdist(CHIINV(S4,T4-1),T4-1,X4)</f>
        <v>0.5036653884545795</v>
      </c>
      <c r="Z4" s="12">
        <f>NFDIST(FINV(S4,T4-1,T4*(U4-1)),T4-1,T4*(U4-1),X4)</f>
        <v>0.40527365490403355</v>
      </c>
      <c r="AB4" t="s">
        <v>165</v>
      </c>
    </row>
    <row r="5" spans="1:28" ht="14.25">
      <c r="A5" s="38"/>
      <c r="B5" s="38"/>
      <c r="C5" s="38"/>
      <c r="D5" s="38"/>
      <c r="E5" s="41" t="s">
        <v>158</v>
      </c>
      <c r="F5" s="26" t="s">
        <v>168</v>
      </c>
      <c r="G5" s="26" t="s">
        <v>67</v>
      </c>
      <c r="H5" s="26" t="s">
        <v>156</v>
      </c>
      <c r="I5" s="26" t="s">
        <v>157</v>
      </c>
      <c r="J5" s="41" t="s">
        <v>159</v>
      </c>
      <c r="K5" s="26" t="s">
        <v>113</v>
      </c>
      <c r="L5" s="26" t="s">
        <v>155</v>
      </c>
      <c r="M5" s="26" t="s">
        <v>30</v>
      </c>
      <c r="Q5" s="39">
        <v>2</v>
      </c>
      <c r="R5" s="114">
        <f>Q5^2/2</f>
        <v>2</v>
      </c>
      <c r="S5" s="39">
        <v>0.05</v>
      </c>
      <c r="T5" s="39">
        <v>4</v>
      </c>
      <c r="U5" s="128">
        <v>9</v>
      </c>
      <c r="V5" s="47">
        <v>1</v>
      </c>
      <c r="W5" s="118">
        <f>R5/V5^2</f>
        <v>2</v>
      </c>
      <c r="X5" s="11">
        <f>U5*W5</f>
        <v>18</v>
      </c>
      <c r="Y5" s="12">
        <f>Ncdist(CHIINV(S5,T5-1),T5-1,X5)</f>
        <v>0.9590734389000538</v>
      </c>
      <c r="Z5" s="12">
        <f>NFDIST(FINV(S5,T5-1,T5*(U5-1)),T5-1,T5*(U5-1),X5)</f>
        <v>0.9325775520426909</v>
      </c>
      <c r="AA5" s="44"/>
      <c r="AB5" t="s">
        <v>166</v>
      </c>
    </row>
    <row r="6" spans="1:28" ht="14.25">
      <c r="A6" s="38"/>
      <c r="B6" s="38"/>
      <c r="C6" s="38"/>
      <c r="D6" s="38"/>
      <c r="E6" s="46">
        <v>2</v>
      </c>
      <c r="F6" s="113">
        <f>E6^2/2</f>
        <v>2</v>
      </c>
      <c r="G6" s="38">
        <v>0.05</v>
      </c>
      <c r="H6" s="38">
        <v>3</v>
      </c>
      <c r="I6" s="38">
        <v>5</v>
      </c>
      <c r="J6" s="28">
        <f>SQRT(2)</f>
        <v>1.4142135623730951</v>
      </c>
      <c r="K6" s="112">
        <f>F6/J6^2</f>
        <v>0.9999999999999998</v>
      </c>
      <c r="L6" s="113">
        <f>I6*K6</f>
        <v>4.999999999999999</v>
      </c>
      <c r="M6" s="10">
        <f>NFDIST(FINV(G6,H6-1,H6*(I6-1)),H6-1,H6*(I6-1),L6)</f>
        <v>0.40527365490403355</v>
      </c>
      <c r="O6" t="s">
        <v>165</v>
      </c>
      <c r="Q6" s="40">
        <v>3</v>
      </c>
      <c r="R6" s="115">
        <f>Q6^2/2</f>
        <v>4.5</v>
      </c>
      <c r="S6" s="40">
        <v>0.01</v>
      </c>
      <c r="T6" s="40">
        <v>5</v>
      </c>
      <c r="U6" s="40">
        <v>13</v>
      </c>
      <c r="V6" s="71">
        <f>SQRT(3)</f>
        <v>1.7320508075688772</v>
      </c>
      <c r="W6" s="119">
        <f>R6/V6^2</f>
        <v>1.5000000000000002</v>
      </c>
      <c r="X6" s="14">
        <f>U6*W6</f>
        <v>19.500000000000004</v>
      </c>
      <c r="Y6" s="15">
        <f>Ncdist(CHIINV(S6,T6-1),T6-1,X6)</f>
        <v>0.8748636940053626</v>
      </c>
      <c r="Z6" s="15">
        <f>NFDIST(FINV(S6,T6-1,T6*(U6-1)),T6-1,T6*(U6-1),X6)</f>
        <v>0.8218166807776447</v>
      </c>
      <c r="AB6" t="s">
        <v>167</v>
      </c>
    </row>
    <row r="7" spans="1:13" ht="14.25">
      <c r="A7" s="30"/>
      <c r="B7" s="30"/>
      <c r="C7" s="30"/>
      <c r="D7" s="30"/>
      <c r="E7" s="30"/>
      <c r="F7" s="30"/>
      <c r="G7" s="30"/>
      <c r="H7" s="30"/>
      <c r="I7" s="30"/>
      <c r="J7" s="37"/>
      <c r="K7" s="37"/>
      <c r="L7" s="23"/>
      <c r="M7" s="13"/>
    </row>
    <row r="8" spans="1:12" ht="13.5">
      <c r="A8" s="30" t="s">
        <v>169</v>
      </c>
      <c r="B8" s="116" t="s">
        <v>170</v>
      </c>
      <c r="C8" s="30"/>
      <c r="D8" s="30"/>
      <c r="E8" s="30"/>
      <c r="F8" s="30"/>
      <c r="G8" s="30" t="s">
        <v>174</v>
      </c>
      <c r="H8" s="116" t="s">
        <v>177</v>
      </c>
      <c r="I8" s="30"/>
      <c r="J8" s="37"/>
      <c r="K8" s="37"/>
      <c r="L8" s="23"/>
    </row>
    <row r="9" spans="1:12" ht="13.5">
      <c r="A9" s="30" t="s">
        <v>171</v>
      </c>
      <c r="B9" s="116" t="s">
        <v>172</v>
      </c>
      <c r="C9" s="30"/>
      <c r="D9" s="30"/>
      <c r="E9" s="30"/>
      <c r="F9" s="30"/>
      <c r="G9" s="30" t="s">
        <v>175</v>
      </c>
      <c r="H9" s="116" t="s">
        <v>178</v>
      </c>
      <c r="I9" s="30"/>
      <c r="J9" s="37"/>
      <c r="K9" s="37"/>
      <c r="L9" s="23"/>
    </row>
    <row r="10" spans="1:12" ht="13.5">
      <c r="A10" s="30"/>
      <c r="B10" s="30"/>
      <c r="C10" s="30"/>
      <c r="D10" s="30"/>
      <c r="E10" s="30"/>
      <c r="F10" s="30"/>
      <c r="G10" s="117" t="s">
        <v>176</v>
      </c>
      <c r="H10" s="116" t="s">
        <v>179</v>
      </c>
      <c r="I10" s="30"/>
      <c r="J10" s="37"/>
      <c r="K10" s="37"/>
      <c r="L10" s="23"/>
    </row>
    <row r="11" spans="1:12" ht="13.5">
      <c r="A11" s="30"/>
      <c r="B11" s="30"/>
      <c r="C11" s="30"/>
      <c r="D11" s="30"/>
      <c r="E11" s="30"/>
      <c r="F11" s="30"/>
      <c r="G11" s="30"/>
      <c r="H11" s="30"/>
      <c r="I11" s="30"/>
      <c r="J11" s="37"/>
      <c r="K11" s="37"/>
      <c r="L11" s="23"/>
    </row>
    <row r="12" spans="1:13" ht="15" thickBot="1">
      <c r="A12" s="39"/>
      <c r="B12" s="39"/>
      <c r="C12" s="39"/>
      <c r="D12" s="39"/>
      <c r="E12" s="21" t="s">
        <v>158</v>
      </c>
      <c r="F12" s="42" t="s">
        <v>168</v>
      </c>
      <c r="G12" s="42" t="s">
        <v>67</v>
      </c>
      <c r="H12" s="42" t="s">
        <v>156</v>
      </c>
      <c r="I12" s="42" t="s">
        <v>157</v>
      </c>
      <c r="J12" s="21" t="s">
        <v>159</v>
      </c>
      <c r="K12" s="42" t="s">
        <v>113</v>
      </c>
      <c r="L12" s="42" t="s">
        <v>155</v>
      </c>
      <c r="M12" s="42" t="s">
        <v>30</v>
      </c>
    </row>
    <row r="13" spans="1:15" ht="15" thickBot="1">
      <c r="A13" s="39"/>
      <c r="B13" s="39"/>
      <c r="C13" s="39"/>
      <c r="D13" s="39"/>
      <c r="E13" s="5">
        <v>2</v>
      </c>
      <c r="F13" s="114">
        <f>E13^2/2</f>
        <v>2</v>
      </c>
      <c r="G13" s="39">
        <v>0.05</v>
      </c>
      <c r="H13" s="39">
        <v>4</v>
      </c>
      <c r="I13" s="120">
        <v>9</v>
      </c>
      <c r="J13" s="24">
        <v>1</v>
      </c>
      <c r="K13" s="43">
        <f>F13/J13^2</f>
        <v>2</v>
      </c>
      <c r="L13" s="114">
        <f>I13*K13</f>
        <v>18</v>
      </c>
      <c r="M13" s="12">
        <f>NFDIST(FINV(G13,H13-1,H13*(I13-1)),H13-1,H13*(I13-1),L13)</f>
        <v>0.9325775520426909</v>
      </c>
      <c r="N13" s="44"/>
      <c r="O13" t="s">
        <v>166</v>
      </c>
    </row>
    <row r="14" spans="1:15" ht="15" thickBot="1">
      <c r="A14" s="40"/>
      <c r="B14" s="40"/>
      <c r="C14" s="40"/>
      <c r="D14" s="40"/>
      <c r="E14" s="16">
        <v>3</v>
      </c>
      <c r="F14" s="115">
        <f>E14^2/2</f>
        <v>4.5</v>
      </c>
      <c r="G14" s="40">
        <v>0.01</v>
      </c>
      <c r="H14" s="40">
        <v>5</v>
      </c>
      <c r="I14" s="120">
        <v>13</v>
      </c>
      <c r="J14" s="25">
        <f>SQRT(3)</f>
        <v>1.7320508075688772</v>
      </c>
      <c r="K14" s="70">
        <f>F14/J14^2</f>
        <v>1.5000000000000002</v>
      </c>
      <c r="L14" s="115">
        <f>I14*K14</f>
        <v>19.500000000000004</v>
      </c>
      <c r="M14" s="15">
        <f>NFDIST(FINV(G14,H14-1,H14*(I14-1)),H14-1,H14*(I14-1),L14)</f>
        <v>0.8218166807776447</v>
      </c>
      <c r="O14" t="s">
        <v>167</v>
      </c>
    </row>
    <row r="15" spans="1:5" ht="14.25">
      <c r="A15" s="30"/>
      <c r="B15" s="30"/>
      <c r="C15" s="30"/>
      <c r="D15" s="30"/>
      <c r="E15" s="30"/>
    </row>
    <row r="18" spans="5:14" ht="13.5">
      <c r="E18" s="30"/>
      <c r="F18" s="30"/>
      <c r="G18" s="30"/>
      <c r="H18" s="30"/>
      <c r="I18" s="30"/>
      <c r="J18" s="30"/>
      <c r="K18" s="30"/>
      <c r="L18" s="30"/>
      <c r="M18" s="30"/>
      <c r="N18" s="30"/>
    </row>
    <row r="19" spans="5:14" ht="13.5">
      <c r="E19" s="19"/>
      <c r="F19" s="19"/>
      <c r="G19" s="19"/>
      <c r="H19" s="19"/>
      <c r="I19" s="19"/>
      <c r="J19" s="19"/>
      <c r="K19" s="19"/>
      <c r="L19" s="19"/>
      <c r="M19" s="19"/>
      <c r="N19" s="30"/>
    </row>
    <row r="20" spans="5:14" ht="13.5">
      <c r="E20" s="37"/>
      <c r="F20" s="23"/>
      <c r="G20" s="30"/>
      <c r="H20" s="30"/>
      <c r="I20" s="30"/>
      <c r="J20" s="13"/>
      <c r="K20" s="37"/>
      <c r="L20" s="23"/>
      <c r="M20" s="13"/>
      <c r="N20" s="30"/>
    </row>
    <row r="21" spans="5:14" ht="13.5">
      <c r="E21" s="37"/>
      <c r="F21" s="23"/>
      <c r="G21" s="30"/>
      <c r="H21" s="30"/>
      <c r="I21" s="30"/>
      <c r="J21" s="13"/>
      <c r="K21" s="37"/>
      <c r="L21" s="23"/>
      <c r="M21" s="13"/>
      <c r="N21" s="30"/>
    </row>
    <row r="22" spans="5:14" ht="13.5">
      <c r="E22" s="37"/>
      <c r="F22" s="23"/>
      <c r="G22" s="30"/>
      <c r="H22" s="30"/>
      <c r="I22" s="30"/>
      <c r="J22" s="13"/>
      <c r="K22" s="37"/>
      <c r="L22" s="23"/>
      <c r="M22" s="13"/>
      <c r="N22" s="30"/>
    </row>
    <row r="23" spans="5:14" ht="13.5">
      <c r="E23" s="37"/>
      <c r="F23" s="23"/>
      <c r="G23" s="30"/>
      <c r="H23" s="30"/>
      <c r="I23" s="30"/>
      <c r="J23" s="13"/>
      <c r="K23" s="37"/>
      <c r="L23" s="23"/>
      <c r="M23" s="13"/>
      <c r="N23" s="30"/>
    </row>
    <row r="24" spans="5:14" ht="13.5">
      <c r="E24" s="37"/>
      <c r="F24" s="23"/>
      <c r="G24" s="30"/>
      <c r="H24" s="30"/>
      <c r="I24" s="30"/>
      <c r="J24" s="13"/>
      <c r="K24" s="37"/>
      <c r="L24" s="23"/>
      <c r="M24" s="13"/>
      <c r="N24" s="30"/>
    </row>
    <row r="25" spans="5:14" ht="13.5">
      <c r="E25" s="37"/>
      <c r="F25" s="23"/>
      <c r="G25" s="30"/>
      <c r="H25" s="30"/>
      <c r="I25" s="30"/>
      <c r="J25" s="13"/>
      <c r="K25" s="37"/>
      <c r="L25" s="23"/>
      <c r="M25" s="13"/>
      <c r="N25" s="30"/>
    </row>
    <row r="26" spans="5:14" ht="13.5">
      <c r="E26" s="37"/>
      <c r="F26" s="23"/>
      <c r="G26" s="30"/>
      <c r="H26" s="30"/>
      <c r="I26" s="30"/>
      <c r="J26" s="13"/>
      <c r="K26" s="37"/>
      <c r="L26" s="23"/>
      <c r="M26" s="13"/>
      <c r="N26" s="30"/>
    </row>
    <row r="27" spans="5:14" ht="13.5">
      <c r="E27" s="37"/>
      <c r="F27" s="23"/>
      <c r="G27" s="30"/>
      <c r="H27" s="30"/>
      <c r="I27" s="30"/>
      <c r="J27" s="13"/>
      <c r="K27" s="37"/>
      <c r="L27" s="23"/>
      <c r="M27" s="13"/>
      <c r="N27" s="30"/>
    </row>
    <row r="28" spans="5:14" ht="13.5">
      <c r="E28" s="37"/>
      <c r="F28" s="23"/>
      <c r="G28" s="30"/>
      <c r="H28" s="30"/>
      <c r="I28" s="30"/>
      <c r="J28" s="13"/>
      <c r="K28" s="37"/>
      <c r="L28" s="23"/>
      <c r="M28" s="13"/>
      <c r="N28" s="30"/>
    </row>
    <row r="29" spans="5:14" ht="13.5">
      <c r="E29" s="37"/>
      <c r="F29" s="23"/>
      <c r="G29" s="30"/>
      <c r="H29" s="30"/>
      <c r="I29" s="30"/>
      <c r="J29" s="13"/>
      <c r="K29" s="37"/>
      <c r="L29" s="23"/>
      <c r="M29" s="13"/>
      <c r="N29" s="30"/>
    </row>
    <row r="30" spans="5:14" ht="13.5">
      <c r="E30" s="37"/>
      <c r="F30" s="23"/>
      <c r="G30" s="30"/>
      <c r="H30" s="30"/>
      <c r="I30" s="30"/>
      <c r="J30" s="13"/>
      <c r="K30" s="37"/>
      <c r="L30" s="23"/>
      <c r="M30" s="13"/>
      <c r="N30" s="30"/>
    </row>
    <row r="31" spans="5:14" ht="13.5">
      <c r="E31" s="30"/>
      <c r="F31" s="30"/>
      <c r="G31" s="30"/>
      <c r="H31" s="30"/>
      <c r="I31" s="30"/>
      <c r="J31" s="30"/>
      <c r="K31" s="30"/>
      <c r="L31" s="30"/>
      <c r="M31" s="30"/>
      <c r="N31" s="30"/>
    </row>
    <row r="32" spans="5:14" ht="13.5">
      <c r="E32" s="30"/>
      <c r="F32" s="30"/>
      <c r="G32" s="30"/>
      <c r="H32" s="30"/>
      <c r="I32" s="30"/>
      <c r="J32" s="30"/>
      <c r="K32" s="30"/>
      <c r="L32" s="30"/>
      <c r="M32" s="30"/>
      <c r="N32" s="30"/>
    </row>
    <row r="33" spans="5:14" ht="13.5">
      <c r="E33" s="30"/>
      <c r="F33" s="30"/>
      <c r="G33" s="30"/>
      <c r="H33" s="30"/>
      <c r="I33" s="30"/>
      <c r="J33" s="30"/>
      <c r="K33" s="30"/>
      <c r="L33" s="30"/>
      <c r="M33" s="30"/>
      <c r="N33" s="30"/>
    </row>
    <row r="34" spans="5:14" ht="13.5">
      <c r="E34" s="30"/>
      <c r="F34" s="30"/>
      <c r="G34" s="30"/>
      <c r="H34" s="30"/>
      <c r="I34" s="30"/>
      <c r="J34" s="30"/>
      <c r="K34" s="30"/>
      <c r="L34" s="19"/>
      <c r="M34" s="30"/>
      <c r="N34" s="30"/>
    </row>
    <row r="35" spans="5:16" ht="13.5">
      <c r="E35" s="30"/>
      <c r="F35" s="30"/>
      <c r="G35" s="30"/>
      <c r="H35" s="30"/>
      <c r="I35" s="30"/>
      <c r="J35" s="30"/>
      <c r="K35" s="30"/>
      <c r="L35" s="30"/>
      <c r="M35" s="158"/>
      <c r="N35" s="158"/>
      <c r="O35" s="157"/>
      <c r="P35" s="157"/>
    </row>
    <row r="36" spans="5:16" ht="13.5">
      <c r="E36" s="30"/>
      <c r="F36" s="30"/>
      <c r="G36" s="30"/>
      <c r="H36" s="30"/>
      <c r="I36" s="30"/>
      <c r="J36" s="30"/>
      <c r="K36" s="30"/>
      <c r="L36" s="30"/>
      <c r="M36" s="158"/>
      <c r="N36" s="158"/>
      <c r="O36" s="157"/>
      <c r="P36" s="157"/>
    </row>
    <row r="37" spans="5:16" ht="13.5">
      <c r="E37" s="30"/>
      <c r="F37" s="30"/>
      <c r="G37" s="30"/>
      <c r="H37" s="30"/>
      <c r="I37" s="30"/>
      <c r="J37" s="30"/>
      <c r="K37" s="30"/>
      <c r="L37" s="30"/>
      <c r="M37" s="158"/>
      <c r="N37" s="158"/>
      <c r="O37" s="157"/>
      <c r="P37" s="157"/>
    </row>
    <row r="38" spans="5:16" ht="13.5">
      <c r="E38" s="30"/>
      <c r="F38" s="30"/>
      <c r="G38" s="30"/>
      <c r="H38" s="30"/>
      <c r="I38" s="30"/>
      <c r="J38" s="30"/>
      <c r="K38" s="30"/>
      <c r="L38" s="30"/>
      <c r="M38" s="158"/>
      <c r="N38" s="158"/>
      <c r="O38" s="157"/>
      <c r="P38" s="157"/>
    </row>
    <row r="39" spans="5:16" ht="13.5">
      <c r="E39" s="30"/>
      <c r="F39" s="30"/>
      <c r="G39" s="30"/>
      <c r="H39" s="30"/>
      <c r="I39" s="30"/>
      <c r="J39" s="30"/>
      <c r="K39" s="30"/>
      <c r="L39" s="30"/>
      <c r="M39" s="158"/>
      <c r="N39" s="158"/>
      <c r="O39" s="157"/>
      <c r="P39" s="157"/>
    </row>
    <row r="40" spans="5:16" ht="13.5">
      <c r="E40" s="30"/>
      <c r="F40" s="30"/>
      <c r="G40" s="30"/>
      <c r="H40" s="30"/>
      <c r="I40" s="30"/>
      <c r="J40" s="30"/>
      <c r="K40" s="30"/>
      <c r="L40" s="30"/>
      <c r="M40" s="158"/>
      <c r="N40" s="158"/>
      <c r="O40" s="157"/>
      <c r="P40" s="157"/>
    </row>
    <row r="41" spans="5:16" ht="13.5">
      <c r="E41" s="30"/>
      <c r="F41" s="30"/>
      <c r="G41" s="30"/>
      <c r="H41" s="30"/>
      <c r="I41" s="30"/>
      <c r="J41" s="30"/>
      <c r="K41" s="30"/>
      <c r="L41" s="30"/>
      <c r="M41" s="158"/>
      <c r="N41" s="158"/>
      <c r="O41" s="157"/>
      <c r="P41" s="157"/>
    </row>
    <row r="42" spans="5:16" ht="13.5">
      <c r="E42" s="30"/>
      <c r="F42" s="30"/>
      <c r="G42" s="30"/>
      <c r="H42" s="30"/>
      <c r="I42" s="30"/>
      <c r="J42" s="30"/>
      <c r="K42" s="30"/>
      <c r="L42" s="30"/>
      <c r="M42" s="158"/>
      <c r="N42" s="158"/>
      <c r="O42" s="157"/>
      <c r="P42" s="157"/>
    </row>
    <row r="43" spans="5:16" ht="13.5">
      <c r="E43" s="30"/>
      <c r="F43" s="30"/>
      <c r="G43" s="30"/>
      <c r="H43" s="30"/>
      <c r="I43" s="30"/>
      <c r="J43" s="30"/>
      <c r="K43" s="30"/>
      <c r="L43" s="30"/>
      <c r="M43" s="158"/>
      <c r="N43" s="158"/>
      <c r="O43" s="157"/>
      <c r="P43" s="157"/>
    </row>
    <row r="44" spans="5:16" ht="13.5">
      <c r="E44" s="30"/>
      <c r="F44" s="30"/>
      <c r="G44" s="30"/>
      <c r="H44" s="30"/>
      <c r="I44" s="30"/>
      <c r="J44" s="30"/>
      <c r="K44" s="30"/>
      <c r="L44" s="30"/>
      <c r="M44" s="158"/>
      <c r="N44" s="158"/>
      <c r="O44" s="157"/>
      <c r="P44" s="157"/>
    </row>
    <row r="45" spans="5:14" ht="13.5">
      <c r="E45" s="30"/>
      <c r="F45" s="30"/>
      <c r="G45" s="30"/>
      <c r="H45" s="30"/>
      <c r="I45" s="30"/>
      <c r="J45" s="30"/>
      <c r="K45" s="30"/>
      <c r="L45" s="30"/>
      <c r="M45" s="30"/>
      <c r="N45" s="30"/>
    </row>
  </sheetData>
  <mergeCells count="1">
    <mergeCell ref="Y2:Z2"/>
  </mergeCells>
  <printOptions/>
  <pageMargins left="0.75" right="0.75" top="1" bottom="1" header="0.512" footer="0.512"/>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12"/>
  <dimension ref="A1:S74"/>
  <sheetViews>
    <sheetView zoomScale="75" zoomScaleNormal="75" workbookViewId="0" topLeftCell="A35">
      <selection activeCell="L68" sqref="L68"/>
    </sheetView>
  </sheetViews>
  <sheetFormatPr defaultColWidth="8.796875" defaultRowHeight="14.25"/>
  <cols>
    <col min="1" max="1" width="4.8984375" style="0" customWidth="1"/>
    <col min="2" max="2" width="5.09765625" style="0" customWidth="1"/>
    <col min="3" max="3" width="7.09765625" style="0" customWidth="1"/>
    <col min="4" max="4" width="5.09765625" style="0" customWidth="1"/>
    <col min="5" max="5" width="7" style="0" bestFit="1" customWidth="1"/>
    <col min="6" max="6" width="8.09765625" style="0" bestFit="1" customWidth="1"/>
    <col min="7" max="7" width="7.19921875" style="0" customWidth="1"/>
    <col min="8" max="9" width="8.59765625" style="0" customWidth="1"/>
    <col min="10" max="10" width="5.69921875" style="0" customWidth="1"/>
    <col min="13" max="13" width="5.8984375" style="0" customWidth="1"/>
    <col min="14" max="14" width="5.69921875" style="0" customWidth="1"/>
    <col min="15" max="15" width="28.09765625" style="0" customWidth="1"/>
    <col min="16" max="16" width="4" style="0" bestFit="1" customWidth="1"/>
    <col min="17" max="17" width="11.69921875" style="0" customWidth="1"/>
    <col min="18" max="18" width="11.59765625" style="0" customWidth="1"/>
    <col min="19" max="19" width="11.3984375" style="0" customWidth="1"/>
  </cols>
  <sheetData>
    <row r="1" spans="1:19" ht="13.5">
      <c r="A1" t="s">
        <v>355</v>
      </c>
      <c r="B1" t="s">
        <v>425</v>
      </c>
      <c r="E1" s="1"/>
      <c r="F1" s="1"/>
      <c r="P1" s="40"/>
      <c r="Q1" s="40"/>
      <c r="R1" s="40"/>
      <c r="S1" s="40"/>
    </row>
    <row r="2" spans="1:19" ht="13.5">
      <c r="A2" s="39"/>
      <c r="B2" s="39"/>
      <c r="C2" s="39"/>
      <c r="D2" s="5"/>
      <c r="E2" s="161" t="s">
        <v>292</v>
      </c>
      <c r="F2" s="161"/>
      <c r="G2" s="161"/>
      <c r="P2" s="5"/>
      <c r="Q2" s="160" t="s">
        <v>374</v>
      </c>
      <c r="R2" s="162"/>
      <c r="S2" s="111" t="s">
        <v>376</v>
      </c>
    </row>
    <row r="3" spans="1:19" ht="13.5">
      <c r="A3" s="4" t="s">
        <v>293</v>
      </c>
      <c r="B3" s="4" t="s">
        <v>294</v>
      </c>
      <c r="C3" s="4" t="s">
        <v>378</v>
      </c>
      <c r="D3" s="6" t="s">
        <v>379</v>
      </c>
      <c r="E3" s="4" t="s">
        <v>33</v>
      </c>
      <c r="F3" s="4" t="s">
        <v>105</v>
      </c>
      <c r="G3" s="4" t="s">
        <v>29</v>
      </c>
      <c r="M3" t="s">
        <v>374</v>
      </c>
      <c r="N3">
        <v>0.4</v>
      </c>
      <c r="P3" s="6" t="s">
        <v>377</v>
      </c>
      <c r="Q3" s="144" t="s">
        <v>287</v>
      </c>
      <c r="R3" s="9" t="s">
        <v>288</v>
      </c>
      <c r="S3" s="38" t="s">
        <v>288</v>
      </c>
    </row>
    <row r="4" spans="1:19" ht="13.5">
      <c r="A4" s="38">
        <v>200</v>
      </c>
      <c r="B4" s="38">
        <v>0.05</v>
      </c>
      <c r="C4" s="38">
        <v>0.1</v>
      </c>
      <c r="D4" s="9">
        <v>0.05</v>
      </c>
      <c r="E4" s="10">
        <f>IF(BINOMDIST($A4,$A4,$C4,FALSE)&gt;$B4,0,1-BINOMDIST(Bin_U($A4,$C4,$B4),$A4,$D4,TRUE))</f>
        <v>2.947936010855301E-07</v>
      </c>
      <c r="F4" s="73">
        <f>IF(BINOMDIST(0,$A4,$C4,FALSE)&gt;$B4,0,BINOMDIST(Bin_L($A4,$C4,$B4),$A4,$D4,TRUE))</f>
        <v>0.7964843459884503</v>
      </c>
      <c r="G4" s="140">
        <f>IF(BINOMDIST(0,$A4,$C4,FALSE)&gt;$B4/2,0,BINOMDIST(Bin_L($A4,$C4,$B4/2),$A4,$D4,TRUE))+IF(BINOMDIST($A4,$A4,$C4,FALSE)&gt;$B4/2,0,1-BINOMDIST(Bin_U($A4,$C4,$B4/2)-1,A4,D4,TRUE))</f>
        <v>0.6997557904469315</v>
      </c>
      <c r="I4" t="s">
        <v>380</v>
      </c>
      <c r="M4" t="s">
        <v>375</v>
      </c>
      <c r="N4">
        <v>0.6</v>
      </c>
      <c r="P4" s="5">
        <v>0</v>
      </c>
      <c r="Q4" s="145">
        <f aca="true" t="shared" si="0" ref="Q4:Q14">BINOMDIST(P4,$N$5,$N$3,TRUE)</f>
        <v>0.0060466176</v>
      </c>
      <c r="R4" s="146">
        <v>1</v>
      </c>
      <c r="S4" s="143">
        <v>1</v>
      </c>
    </row>
    <row r="5" spans="1:19" ht="13.5">
      <c r="A5" s="38">
        <v>200</v>
      </c>
      <c r="B5" s="38">
        <v>0.05</v>
      </c>
      <c r="C5" s="38">
        <v>0.1</v>
      </c>
      <c r="D5" s="9">
        <v>0.05</v>
      </c>
      <c r="E5" s="73">
        <f>NORMSDIST((($D5-$C5)-NORMSINV(1-$B5)*SQRT($C5*(1-$C5)/$A5))/SQRT($D5*(1-$D5)/$A5))</f>
        <v>1.813403682771053E-08</v>
      </c>
      <c r="F5" s="73">
        <f>1-NORMSDIST((($D5-$C5)+NORMSINV(1-$B5)*SQRT($C5*(1-$C5)/$A5))/SQRT($D5*(1-$D5)/$A5))</f>
        <v>0.83653035115799</v>
      </c>
      <c r="G5" s="140">
        <f>NORMSDIST((($D5-$C5)-NORMSINV(1-$B5/2)*SQRT($C5*(1-$C5)/$A5))/SQRT($D5*(1-$D5)/$A5))+1-NORMSDIST((($D5-$C5)+NORMSINV(1-$B5/2)*SQRT($C5*(1-$C5)/$A5))/SQRT($D5*(1-$D5)/$A5))</f>
        <v>0.70765708536626</v>
      </c>
      <c r="H5" s="59"/>
      <c r="I5" s="59"/>
      <c r="J5">
        <v>0.708</v>
      </c>
      <c r="M5" t="s">
        <v>295</v>
      </c>
      <c r="N5">
        <v>10</v>
      </c>
      <c r="P5" s="8">
        <v>1</v>
      </c>
      <c r="Q5" s="147">
        <f t="shared" si="0"/>
        <v>0.046357401599999994</v>
      </c>
      <c r="R5" s="148">
        <f aca="true" t="shared" si="1" ref="R5:R14">1-BINOMDIST(P5-1,$N$5,$N$3,TRUE)</f>
        <v>0.9939533824</v>
      </c>
      <c r="S5" s="20">
        <f>1-BINOMDIST(P5-1,$N$5,$N$4,TRUE)</f>
        <v>0.9998951424</v>
      </c>
    </row>
    <row r="6" spans="1:19" ht="13.5">
      <c r="A6" s="38"/>
      <c r="B6" s="38"/>
      <c r="C6" s="38"/>
      <c r="D6" s="9"/>
      <c r="E6" s="73"/>
      <c r="F6" s="73"/>
      <c r="G6" s="140"/>
      <c r="M6" t="s">
        <v>296</v>
      </c>
      <c r="N6">
        <v>0.05</v>
      </c>
      <c r="P6" s="8">
        <v>2</v>
      </c>
      <c r="Q6" s="147">
        <f t="shared" si="0"/>
        <v>0.16728975359999998</v>
      </c>
      <c r="R6" s="148">
        <f t="shared" si="1"/>
        <v>0.9536425984</v>
      </c>
      <c r="S6" s="20">
        <f aca="true" t="shared" si="2" ref="S6:S14">1-BINOMDIST(P6-1,$N$5,$N$4,TRUE)</f>
        <v>0.9983222784</v>
      </c>
    </row>
    <row r="7" spans="1:19" ht="13.5">
      <c r="A7" s="30" t="s">
        <v>297</v>
      </c>
      <c r="B7" s="116" t="s">
        <v>298</v>
      </c>
      <c r="C7" s="30"/>
      <c r="D7" s="30"/>
      <c r="E7" s="13"/>
      <c r="F7" s="59"/>
      <c r="G7" s="13"/>
      <c r="P7" s="8">
        <v>3</v>
      </c>
      <c r="Q7" s="147">
        <f t="shared" si="0"/>
        <v>0.3822806015999999</v>
      </c>
      <c r="R7" s="148">
        <f t="shared" si="1"/>
        <v>0.8327102464</v>
      </c>
      <c r="S7" s="20">
        <f t="shared" si="2"/>
        <v>0.9877054464</v>
      </c>
    </row>
    <row r="8" spans="1:19" ht="13.5">
      <c r="A8" s="30"/>
      <c r="B8" s="116" t="s">
        <v>407</v>
      </c>
      <c r="C8" s="30"/>
      <c r="D8" s="30"/>
      <c r="E8" s="13"/>
      <c r="F8" s="59"/>
      <c r="G8" s="13"/>
      <c r="M8" t="s">
        <v>289</v>
      </c>
      <c r="N8">
        <f>Bin_L(N5,N3,N6)</f>
        <v>1</v>
      </c>
      <c r="P8" s="8">
        <v>4</v>
      </c>
      <c r="Q8" s="147">
        <f t="shared" si="0"/>
        <v>0.6331032575999999</v>
      </c>
      <c r="R8" s="148">
        <f t="shared" si="1"/>
        <v>0.6177193984000001</v>
      </c>
      <c r="S8" s="20">
        <f t="shared" si="2"/>
        <v>0.9452381183999999</v>
      </c>
    </row>
    <row r="9" spans="1:19" ht="13.5">
      <c r="A9" s="30" t="s">
        <v>299</v>
      </c>
      <c r="B9" s="116" t="s">
        <v>300</v>
      </c>
      <c r="C9" s="30"/>
      <c r="D9" s="30"/>
      <c r="E9" s="13"/>
      <c r="F9" s="59"/>
      <c r="G9" s="13"/>
      <c r="M9" t="s">
        <v>291</v>
      </c>
      <c r="N9">
        <f>Bin_U(N5,N3,N6)</f>
        <v>8</v>
      </c>
      <c r="P9" s="8">
        <v>5</v>
      </c>
      <c r="Q9" s="147">
        <f t="shared" si="0"/>
        <v>0.8337613824</v>
      </c>
      <c r="R9" s="148">
        <f t="shared" si="1"/>
        <v>0.36689674240000014</v>
      </c>
      <c r="S9" s="20">
        <f t="shared" si="2"/>
        <v>0.8337613824</v>
      </c>
    </row>
    <row r="10" spans="1:19" ht="13.5">
      <c r="A10" s="30"/>
      <c r="B10" s="116" t="s">
        <v>408</v>
      </c>
      <c r="C10" s="30"/>
      <c r="D10" s="30"/>
      <c r="E10" s="13"/>
      <c r="F10" s="59"/>
      <c r="G10" s="13"/>
      <c r="P10" s="8">
        <v>6</v>
      </c>
      <c r="Q10" s="147">
        <f t="shared" si="0"/>
        <v>0.9452381184</v>
      </c>
      <c r="R10" s="148">
        <f t="shared" si="1"/>
        <v>0.16623861760000003</v>
      </c>
      <c r="S10" s="20">
        <f t="shared" si="2"/>
        <v>0.6331032575999997</v>
      </c>
    </row>
    <row r="11" spans="1:19" ht="13.5">
      <c r="A11" s="30" t="s">
        <v>301</v>
      </c>
      <c r="B11" s="136" t="s">
        <v>409</v>
      </c>
      <c r="C11" s="30"/>
      <c r="D11" s="30"/>
      <c r="E11" s="13"/>
      <c r="F11" s="59"/>
      <c r="G11" s="13"/>
      <c r="M11" t="s">
        <v>302</v>
      </c>
      <c r="N11" s="35" t="s">
        <v>303</v>
      </c>
      <c r="P11" s="8">
        <v>7</v>
      </c>
      <c r="Q11" s="147">
        <f t="shared" si="0"/>
        <v>0.9877054464</v>
      </c>
      <c r="R11" s="148">
        <f t="shared" si="1"/>
        <v>0.05476188159999995</v>
      </c>
      <c r="S11" s="20">
        <f t="shared" si="2"/>
        <v>0.38228060159999977</v>
      </c>
    </row>
    <row r="12" spans="1:19" ht="13.5">
      <c r="A12" s="30"/>
      <c r="B12" s="136" t="s">
        <v>410</v>
      </c>
      <c r="C12" s="30"/>
      <c r="D12" s="30"/>
      <c r="E12" s="13"/>
      <c r="F12" s="59"/>
      <c r="G12" s="13"/>
      <c r="M12" t="s">
        <v>304</v>
      </c>
      <c r="N12" s="35" t="s">
        <v>305</v>
      </c>
      <c r="P12" s="8">
        <v>8</v>
      </c>
      <c r="Q12" s="147">
        <f t="shared" si="0"/>
        <v>0.9983222784</v>
      </c>
      <c r="R12" s="148">
        <f t="shared" si="1"/>
        <v>0.01229455359999998</v>
      </c>
      <c r="S12" s="20">
        <f t="shared" si="2"/>
        <v>0.16728975359999987</v>
      </c>
    </row>
    <row r="13" spans="1:19" ht="13.5">
      <c r="A13" s="30"/>
      <c r="B13" s="136" t="s">
        <v>411</v>
      </c>
      <c r="C13" s="30"/>
      <c r="D13" s="30"/>
      <c r="E13" s="13"/>
      <c r="F13" s="59"/>
      <c r="G13" s="13"/>
      <c r="M13" t="s">
        <v>306</v>
      </c>
      <c r="N13" s="35" t="s">
        <v>307</v>
      </c>
      <c r="P13" s="8">
        <v>9</v>
      </c>
      <c r="Q13" s="147">
        <f t="shared" si="0"/>
        <v>0.9998951424</v>
      </c>
      <c r="R13" s="148">
        <f t="shared" si="1"/>
        <v>0.001677721600000015</v>
      </c>
      <c r="S13" s="20">
        <f t="shared" si="2"/>
        <v>0.0463574015999999</v>
      </c>
    </row>
    <row r="14" spans="1:19" ht="13.5">
      <c r="A14" s="30"/>
      <c r="B14" s="136" t="s">
        <v>412</v>
      </c>
      <c r="C14" s="30"/>
      <c r="D14" s="30"/>
      <c r="E14" s="13"/>
      <c r="F14" s="59"/>
      <c r="G14" s="13"/>
      <c r="M14" t="s">
        <v>308</v>
      </c>
      <c r="N14" s="35" t="s">
        <v>309</v>
      </c>
      <c r="P14" s="16">
        <v>10</v>
      </c>
      <c r="Q14" s="149">
        <f t="shared" si="0"/>
        <v>1</v>
      </c>
      <c r="R14" s="150">
        <f t="shared" si="1"/>
        <v>0.00010485760000000788</v>
      </c>
      <c r="S14" s="149">
        <f t="shared" si="2"/>
        <v>0.006046617599999915</v>
      </c>
    </row>
    <row r="15" spans="1:7" ht="13.5">
      <c r="A15" s="30"/>
      <c r="B15" s="136"/>
      <c r="C15" s="30"/>
      <c r="D15" s="30"/>
      <c r="E15" s="13"/>
      <c r="F15" s="59"/>
      <c r="G15" s="13"/>
    </row>
    <row r="16" spans="1:7" ht="13.5">
      <c r="A16" s="30" t="s">
        <v>404</v>
      </c>
      <c r="B16" s="136" t="s">
        <v>413</v>
      </c>
      <c r="C16" s="30"/>
      <c r="D16" s="30"/>
      <c r="E16" s="13"/>
      <c r="F16" s="59"/>
      <c r="G16" s="13"/>
    </row>
    <row r="17" spans="1:7" ht="13.5">
      <c r="A17" s="30"/>
      <c r="B17" s="136" t="s">
        <v>414</v>
      </c>
      <c r="C17" s="30"/>
      <c r="D17" s="30"/>
      <c r="E17" s="13"/>
      <c r="F17" s="59"/>
      <c r="G17" s="13"/>
    </row>
    <row r="18" spans="1:17" ht="13.5">
      <c r="A18" s="30" t="s">
        <v>405</v>
      </c>
      <c r="B18" s="136" t="s">
        <v>415</v>
      </c>
      <c r="C18" s="30"/>
      <c r="D18" s="30"/>
      <c r="E18" s="13"/>
      <c r="F18" s="59"/>
      <c r="G18" s="13"/>
      <c r="Q18">
        <f>D4-C4</f>
        <v>-0.05</v>
      </c>
    </row>
    <row r="19" spans="1:17" ht="13.5">
      <c r="A19" s="30"/>
      <c r="B19" s="136" t="s">
        <v>414</v>
      </c>
      <c r="C19" s="30"/>
      <c r="D19" s="30"/>
      <c r="E19" s="13"/>
      <c r="F19" s="59"/>
      <c r="G19" s="13"/>
      <c r="N19" s="138"/>
      <c r="O19" s="138"/>
      <c r="P19" s="138"/>
      <c r="Q19">
        <f>NORMSINV(1-D4/2)</f>
        <v>1.9599610823206604</v>
      </c>
    </row>
    <row r="20" spans="1:18" ht="13.5">
      <c r="A20" s="30" t="s">
        <v>406</v>
      </c>
      <c r="B20" s="136" t="s">
        <v>416</v>
      </c>
      <c r="C20" s="30"/>
      <c r="D20" s="30"/>
      <c r="E20" s="13"/>
      <c r="F20" s="59"/>
      <c r="G20" s="13"/>
      <c r="Q20">
        <f>SQRT(C4*(1-C4)/A4)</f>
        <v>0.021213203435596427</v>
      </c>
      <c r="R20">
        <f>Q19*Q20</f>
        <v>0.04157705316511992</v>
      </c>
    </row>
    <row r="21" spans="1:17" ht="13.5">
      <c r="A21" s="30"/>
      <c r="B21" s="136" t="s">
        <v>414</v>
      </c>
      <c r="C21" s="30"/>
      <c r="D21" s="30"/>
      <c r="E21" s="13"/>
      <c r="F21" s="59"/>
      <c r="G21" s="13"/>
      <c r="Q21">
        <f>SQRT(D4*(1-D4)/A4)</f>
        <v>0.015411035007422441</v>
      </c>
    </row>
    <row r="22" spans="1:18" ht="13.5">
      <c r="A22" s="30"/>
      <c r="B22" s="136" t="s">
        <v>417</v>
      </c>
      <c r="C22" s="30"/>
      <c r="D22" s="30"/>
      <c r="E22" s="13"/>
      <c r="F22" s="59"/>
      <c r="G22" s="13"/>
      <c r="Q22">
        <f>Q18+R20</f>
        <v>-0.008422946834880082</v>
      </c>
      <c r="R22">
        <f>Q20/Q21</f>
        <v>1.3764944032233706</v>
      </c>
    </row>
    <row r="23" spans="1:17" ht="13.5">
      <c r="A23" s="30"/>
      <c r="B23" s="136" t="s">
        <v>414</v>
      </c>
      <c r="C23" s="30"/>
      <c r="D23" s="30"/>
      <c r="E23" s="13"/>
      <c r="F23" s="59"/>
      <c r="G23" s="13"/>
      <c r="Q23">
        <f>Q22/Q21</f>
        <v>-0.5465529622652421</v>
      </c>
    </row>
    <row r="24" spans="5:17" ht="13.5">
      <c r="E24" s="1"/>
      <c r="F24" s="137"/>
      <c r="G24" s="1"/>
      <c r="Q24">
        <f>1-NORMSDIST(Q23)</f>
        <v>0.7076570839562049</v>
      </c>
    </row>
    <row r="25" spans="1:7" ht="13.5">
      <c r="A25" s="39"/>
      <c r="B25" s="39"/>
      <c r="C25" s="39"/>
      <c r="D25" s="5"/>
      <c r="E25" s="161" t="s">
        <v>310</v>
      </c>
      <c r="F25" s="161"/>
      <c r="G25" s="161"/>
    </row>
    <row r="26" spans="1:7" ht="14.25">
      <c r="A26" s="4" t="s">
        <v>311</v>
      </c>
      <c r="B26" s="4" t="s">
        <v>296</v>
      </c>
      <c r="C26" s="4" t="s">
        <v>378</v>
      </c>
      <c r="D26" s="6" t="s">
        <v>379</v>
      </c>
      <c r="E26" s="4" t="s">
        <v>33</v>
      </c>
      <c r="F26" s="4" t="s">
        <v>105</v>
      </c>
      <c r="G26" s="4" t="s">
        <v>29</v>
      </c>
    </row>
    <row r="27" spans="1:9" ht="14.25">
      <c r="A27" s="39">
        <v>292</v>
      </c>
      <c r="B27" s="39">
        <v>0.05</v>
      </c>
      <c r="C27" s="39">
        <v>0.1</v>
      </c>
      <c r="D27" s="5">
        <v>0.05</v>
      </c>
      <c r="E27" s="12">
        <f>IF(BINOMDIST($A27,$A27,$C27,FALSE)&gt;$B27,0,1-BINOMDIST(Bin_U($A27,$C27,$B27),$A27,$D27,TRUE))</f>
        <v>9.992829563820749E-09</v>
      </c>
      <c r="F27" s="58">
        <f>IF(BINOMDIST(0,$A27,$C27,FALSE)&gt;$B27,0,BINOMDIST(Bin_L($A27,$C27,$B27),$A27,$D27,TRUE))</f>
        <v>0.9376330384539041</v>
      </c>
      <c r="G27" s="55">
        <f>IF(BINOMDIST(0,$A27,$C27,FALSE)&gt;$B27/2,0,BINOMDIST(Bin_L($A27,$C27,$B27/2),$A27,$D27,TRUE))+IF(BINOMDIST($A27,$A27,$C27,FALSE)&gt;$B27/2,0,1-BINOMDIST(Bin_U($A27,$C27,$B27/2)-1,A27,D27,TRUE))</f>
        <v>0.9019341233979314</v>
      </c>
      <c r="I27" t="s">
        <v>381</v>
      </c>
    </row>
    <row r="28" spans="1:10" ht="13.5">
      <c r="A28" s="38">
        <v>302</v>
      </c>
      <c r="B28" s="38">
        <v>0.05</v>
      </c>
      <c r="C28" s="38">
        <v>0.1</v>
      </c>
      <c r="D28" s="9">
        <v>0.05</v>
      </c>
      <c r="E28" s="73">
        <f>NORMSDIST((($D28-$C28)-NORMSINV(1-$B28)*SQRT($C28*(1-$C28)/$A28))/SQRT($D28*(1-$D28)/$A28))</f>
        <v>2.0484269835918667E-10</v>
      </c>
      <c r="F28" s="73">
        <f>1-NORMSDIST((($D28-$C28)+NORMSINV(1-$B28)*SQRT($C28*(1-$C28)/$A28))/SQRT($D28*(1-$D28)/$A28))</f>
        <v>0.9575276865877516</v>
      </c>
      <c r="G28" s="140">
        <f>NORMSDIST((($D28-$C28)-NORMSINV(1-$B28/2)*SQRT($C28*(1-$C28)/$A28))/SQRT($D28*(1-$D28)/$A28))+1-NORMSDIST((($D28-$C28)+NORMSINV(1-$B28/2)*SQRT($C28*(1-$C28)/$A28))/SQRT($D28*(1-$D28)/$A28))</f>
        <v>0.9012913187530313</v>
      </c>
      <c r="J28">
        <v>302</v>
      </c>
    </row>
    <row r="29" spans="1:7" ht="14.25">
      <c r="A29" s="40">
        <v>455</v>
      </c>
      <c r="B29" s="40">
        <v>0.05</v>
      </c>
      <c r="C29" s="40">
        <v>0.1</v>
      </c>
      <c r="D29" s="16">
        <v>0.15</v>
      </c>
      <c r="E29" s="60">
        <f>IF(BINOMDIST($A29,$A29,$C29,FALSE)&gt;$B29,0,1-BINOMDIST(Bin_U($A29,$C29,$B29),$A29,$D29,TRUE))</f>
        <v>0.9233960169495284</v>
      </c>
      <c r="F29" s="60">
        <f>IF(BINOMDIST(0,$A29,$C29,FALSE)&gt;$B29,0,BINOMDIST(Bin_L($A29,$C29,$B29),$A29,$D29,TRUE))</f>
        <v>7.614221711002522E-07</v>
      </c>
      <c r="G29" s="57">
        <f>IF(BINOMDIST(0,$A29,$C29,FALSE)&gt;$B29/2,0,BINOMDIST(Bin_L($A29,$C29,$B29/2),$A29,$D29,TRUE))+IF(BINOMDIST($A29,$A29,$C29,FALSE)&gt;$B29/2,0,1-BINOMDIST(Bin_U($A29,$C29,$B29/2)-1,A29,D29,TRUE))</f>
        <v>0.9016537316370747</v>
      </c>
    </row>
    <row r="30" spans="1:10" ht="14.25">
      <c r="A30" s="38">
        <v>438</v>
      </c>
      <c r="B30" s="38">
        <v>0.05</v>
      </c>
      <c r="C30" s="38">
        <v>0.1</v>
      </c>
      <c r="D30" s="9">
        <v>0.15</v>
      </c>
      <c r="E30" s="73">
        <f>NORMSDIST((($D30-$C30)-NORMSINV(1-$B30)*SQRT($C30*(1-$C30)/$A30))/SQRT($D30*(1-$D30)/$A30))</f>
        <v>0.939262978329432</v>
      </c>
      <c r="F30" s="73">
        <f>1-NORMSDIST((($D30-$C30)+NORMSINV(1-$B30)*SQRT($C30*(1-$C30)/$A30))/SQRT($D30*(1-$D30)/$A30))</f>
        <v>8.076014429647671E-06</v>
      </c>
      <c r="G30" s="140">
        <f>NORMSDIST((($D30-$C30)-NORMSINV(1-$B30/2)*SQRT($C30*(1-$C30)/$A30))/SQRT($D30*(1-$D30)/$A30))+1-NORMSDIST((($D30-$C30)+NORMSINV(1-$B30/2)*SQRT($C30*(1-$C30)/$A30))/SQRT($D30*(1-$D30)/$A30))</f>
        <v>0.9004089939639774</v>
      </c>
      <c r="J30">
        <v>438</v>
      </c>
    </row>
    <row r="31" spans="3:8" ht="13.5">
      <c r="C31" s="138"/>
      <c r="D31" s="138"/>
      <c r="E31" s="138"/>
      <c r="G31" s="40"/>
      <c r="H31" s="40"/>
    </row>
    <row r="32" spans="1:8" ht="13.5">
      <c r="A32" s="39">
        <v>270</v>
      </c>
      <c r="B32" s="39">
        <v>0.05</v>
      </c>
      <c r="C32" s="39">
        <v>0.1</v>
      </c>
      <c r="D32" s="5">
        <v>0.05</v>
      </c>
      <c r="E32" s="12">
        <f>IF(BINOMDIST($A32,$A32,$C32,FALSE)&gt;$B32,0,1-BINOMDIST(Bin_U($A32,$C32,$B32),$A32,$D32,TRUE))</f>
        <v>3.4402862669757894E-08</v>
      </c>
      <c r="F32" s="58">
        <f>IF(BINOMDIST(0,$A32,$C32,FALSE)&gt;$B32,0,BINOMDIST(Bin_L($A32,$C32,$B32),$A32,$D32,TRUE))</f>
        <v>0.913844472489745</v>
      </c>
      <c r="G32" s="56">
        <f>IF(BINOMDIST(0,$A32,$C32,FALSE)&gt;$B32/2,0,BINOMDIST(Bin_L($A32,$C32,$B32/2),$A32,$D32,TRUE))+IF(BINOMDIST($A32,$A32,$C32,FALSE)&gt;$B32/2,0,1-BINOMDIST(Bin_U($A32,$C32,$B32/2)-1,A32,D32,TRUE))</f>
        <v>0.8665926135360202</v>
      </c>
      <c r="H32" s="30">
        <f>Bin_L(A32,C32,B32/2)</f>
        <v>17</v>
      </c>
    </row>
    <row r="33" spans="1:8" ht="13.5">
      <c r="A33" s="30">
        <v>276</v>
      </c>
      <c r="B33" s="30">
        <v>0.05</v>
      </c>
      <c r="C33" s="30">
        <v>0.1</v>
      </c>
      <c r="D33" s="8">
        <v>0.05</v>
      </c>
      <c r="E33" s="13">
        <f aca="true" t="shared" si="3" ref="E33:E45">IF(BINOMDIST($A33,$A33,$C33,FALSE)&gt;$B33,0,1-BINOMDIST(Bin_U($A33,$C33,$B33),$A33,$D33,TRUE))</f>
        <v>1.9984473742518105E-08</v>
      </c>
      <c r="F33" s="59">
        <f aca="true" t="shared" si="4" ref="F33:F45">IF(BINOMDIST(0,$A33,$C33,FALSE)&gt;$B33,0,BINOMDIST(Bin_L($A33,$C33,$B33),$A33,$D33,TRUE))</f>
        <v>0.9363929988624567</v>
      </c>
      <c r="G33" s="56">
        <f aca="true" t="shared" si="5" ref="G33:G41">IF(BINOMDIST(0,$A33,$C33,FALSE)&gt;$B33/2,0,BINOMDIST(Bin_L($A33,$C33,$B33/2),$A33,$D33,TRUE))+IF(BINOMDIST($A33,$A33,$C33,FALSE)&gt;$B33/2,0,1-BINOMDIST(Bin_U($A33,$C33,$B33/2)-1,A33,D33,TRUE))</f>
        <v>0.8467843321347486</v>
      </c>
      <c r="H33" s="30">
        <f aca="true" t="shared" si="6" ref="H33:H45">Bin_L(A33,C33,B33/2)</f>
        <v>17</v>
      </c>
    </row>
    <row r="34" spans="1:8" ht="13.5">
      <c r="A34" s="30">
        <v>279</v>
      </c>
      <c r="B34" s="30">
        <v>0.05</v>
      </c>
      <c r="C34" s="30">
        <v>0.1</v>
      </c>
      <c r="D34" s="8">
        <v>0.05</v>
      </c>
      <c r="E34" s="13">
        <f t="shared" si="3"/>
        <v>2.6783787632211897E-08</v>
      </c>
      <c r="F34" s="59">
        <f t="shared" si="4"/>
        <v>0.9306785877824324</v>
      </c>
      <c r="G34" s="57">
        <f t="shared" si="5"/>
        <v>0.8363082070641535</v>
      </c>
      <c r="H34" s="40">
        <f t="shared" si="6"/>
        <v>17</v>
      </c>
    </row>
    <row r="35" spans="1:8" ht="13.5">
      <c r="A35" s="30">
        <v>280</v>
      </c>
      <c r="B35" s="30">
        <v>0.05</v>
      </c>
      <c r="C35" s="30">
        <v>0.1</v>
      </c>
      <c r="D35" s="8">
        <v>0.05</v>
      </c>
      <c r="E35" s="13">
        <f t="shared" si="3"/>
        <v>2.9496905473713753E-08</v>
      </c>
      <c r="F35" s="59">
        <f t="shared" si="4"/>
        <v>0.9286986302574275</v>
      </c>
      <c r="G35" s="56">
        <f t="shared" si="5"/>
        <v>0.8883408848471305</v>
      </c>
      <c r="H35" s="30">
        <f t="shared" si="6"/>
        <v>18</v>
      </c>
    </row>
    <row r="36" spans="1:16" ht="13.5">
      <c r="A36" s="30">
        <v>283</v>
      </c>
      <c r="B36" s="30">
        <v>0.05</v>
      </c>
      <c r="C36" s="30">
        <v>0.1</v>
      </c>
      <c r="D36" s="8">
        <v>0.05</v>
      </c>
      <c r="E36" s="13">
        <f t="shared" si="3"/>
        <v>1.2808812788200896E-08</v>
      </c>
      <c r="F36" s="59">
        <f t="shared" si="4"/>
        <v>0.9225304126637007</v>
      </c>
      <c r="G36" s="56">
        <f t="shared" si="5"/>
        <v>0.8798745558187635</v>
      </c>
      <c r="H36" s="30">
        <f t="shared" si="6"/>
        <v>18</v>
      </c>
      <c r="O36" s="138"/>
      <c r="P36" s="138"/>
    </row>
    <row r="37" spans="1:16" ht="13.5">
      <c r="A37" s="30">
        <v>286</v>
      </c>
      <c r="B37" s="30">
        <v>0.05</v>
      </c>
      <c r="C37" s="30">
        <v>0.1</v>
      </c>
      <c r="D37" s="8">
        <v>0.05</v>
      </c>
      <c r="E37" s="13">
        <f t="shared" si="3"/>
        <v>1.7173365063349877E-08</v>
      </c>
      <c r="F37" s="59">
        <f t="shared" si="4"/>
        <v>0.9476218576514888</v>
      </c>
      <c r="G37" s="56">
        <f t="shared" si="5"/>
        <v>0.8710338730157533</v>
      </c>
      <c r="H37" s="30">
        <f t="shared" si="6"/>
        <v>18</v>
      </c>
      <c r="N37" s="138"/>
      <c r="O37" s="138"/>
      <c r="P37" s="138"/>
    </row>
    <row r="38" spans="1:16" ht="13.5">
      <c r="A38" s="30">
        <v>289</v>
      </c>
      <c r="B38" s="30">
        <v>0.05</v>
      </c>
      <c r="C38" s="30">
        <v>0.1</v>
      </c>
      <c r="D38" s="8">
        <v>0.05</v>
      </c>
      <c r="E38" s="13">
        <f t="shared" si="3"/>
        <v>2.2912079788994788E-08</v>
      </c>
      <c r="F38" s="59">
        <f t="shared" si="4"/>
        <v>0.9427803770681069</v>
      </c>
      <c r="G38" s="56">
        <f t="shared" si="5"/>
        <v>0.8618219775874757</v>
      </c>
      <c r="H38" s="30">
        <f t="shared" si="6"/>
        <v>18</v>
      </c>
      <c r="N38" s="138"/>
      <c r="O38" s="138"/>
      <c r="P38" s="138"/>
    </row>
    <row r="39" spans="1:14" ht="13.5">
      <c r="A39" s="30">
        <v>291</v>
      </c>
      <c r="B39" s="30">
        <v>0.05</v>
      </c>
      <c r="C39" s="30">
        <v>0.1</v>
      </c>
      <c r="D39" s="8">
        <v>0.05</v>
      </c>
      <c r="E39" s="13">
        <f t="shared" si="3"/>
        <v>9.061229877538324E-09</v>
      </c>
      <c r="F39" s="59">
        <f t="shared" si="4"/>
        <v>0.939383237762392</v>
      </c>
      <c r="G39" s="57">
        <f t="shared" si="5"/>
        <v>0.8554766329167106</v>
      </c>
      <c r="H39" s="40">
        <f t="shared" si="6"/>
        <v>18</v>
      </c>
      <c r="N39" s="138"/>
    </row>
    <row r="40" spans="1:8" ht="13.5">
      <c r="A40" s="30">
        <v>292</v>
      </c>
      <c r="B40" s="30">
        <v>0.05</v>
      </c>
      <c r="C40" s="30">
        <v>0.1</v>
      </c>
      <c r="D40" s="8">
        <v>0.05</v>
      </c>
      <c r="E40" s="13">
        <f t="shared" si="3"/>
        <v>9.992829563820749E-09</v>
      </c>
      <c r="F40" s="59">
        <f t="shared" si="4"/>
        <v>0.9376330384539041</v>
      </c>
      <c r="G40" s="56">
        <f t="shared" si="5"/>
        <v>0.9019341233979314</v>
      </c>
      <c r="H40" s="30">
        <f t="shared" si="6"/>
        <v>19</v>
      </c>
    </row>
    <row r="41" spans="1:8" ht="13.5">
      <c r="A41" s="30">
        <v>295</v>
      </c>
      <c r="B41" s="30">
        <v>0.05</v>
      </c>
      <c r="C41" s="30">
        <v>0.1</v>
      </c>
      <c r="D41" s="8">
        <v>0.05</v>
      </c>
      <c r="E41" s="13">
        <f t="shared" si="3"/>
        <v>1.3359679695845728E-08</v>
      </c>
      <c r="F41" s="59">
        <f t="shared" si="4"/>
        <v>0.9321730383572834</v>
      </c>
      <c r="G41" s="56">
        <f t="shared" si="5"/>
        <v>0.8943621496094358</v>
      </c>
      <c r="H41" s="30">
        <f t="shared" si="6"/>
        <v>19</v>
      </c>
    </row>
    <row r="42" spans="1:8" ht="13.5">
      <c r="A42" s="30">
        <v>298</v>
      </c>
      <c r="B42" s="30">
        <v>0.05</v>
      </c>
      <c r="C42" s="30">
        <v>0.1</v>
      </c>
      <c r="D42" s="8">
        <v>0.05</v>
      </c>
      <c r="E42" s="13">
        <f t="shared" si="3"/>
        <v>5.811566561320092E-09</v>
      </c>
      <c r="F42" s="59">
        <f t="shared" si="4"/>
        <v>0.9542357140318611</v>
      </c>
      <c r="G42" s="56">
        <f>IF(BINOMDIST(0,$A42,$C42,FALSE)&gt;$B42/2,0,BINOMDIST(Bin_L($A42,$C42,$B42/2),$A42,$D42,TRUE))+IF(BINOMDIST($A42,$A42,$C42,FALSE)&gt;$B42/2,0,1-BINOMDIST(Bin_U($A42,$C42,$B42/2)-1,A42,D42,TRUE))</f>
        <v>0.8864350005224759</v>
      </c>
      <c r="H42" s="30">
        <f t="shared" si="6"/>
        <v>19</v>
      </c>
    </row>
    <row r="43" spans="1:8" ht="13.5">
      <c r="A43" s="30">
        <v>303</v>
      </c>
      <c r="B43" s="30">
        <v>0.05</v>
      </c>
      <c r="C43" s="30">
        <v>0.1</v>
      </c>
      <c r="D43" s="8">
        <v>0.05</v>
      </c>
      <c r="E43" s="13">
        <f t="shared" si="3"/>
        <v>9.43587408208657E-09</v>
      </c>
      <c r="F43" s="59">
        <f t="shared" si="4"/>
        <v>0.946969523428639</v>
      </c>
      <c r="G43" s="57">
        <f>IF(BINOMDIST(0,$A43,$C43,FALSE)&gt;$B43/2,0,BINOMDIST(Bin_L($A43,$C43,$B43/2),$A43,$D43,TRUE))+IF(BINOMDIST($A43,$A43,$C43,FALSE)&gt;$B43/2,0,1-BINOMDIST(Bin_U($A43,$C43,$B43/2)-1,A43,D43,TRUE))</f>
        <v>0.8724358668844118</v>
      </c>
      <c r="H43" s="40">
        <f t="shared" si="6"/>
        <v>19</v>
      </c>
    </row>
    <row r="44" spans="1:8" ht="13.5">
      <c r="A44" s="30">
        <v>304</v>
      </c>
      <c r="B44" s="30">
        <v>0.05</v>
      </c>
      <c r="C44" s="30">
        <v>0.1</v>
      </c>
      <c r="D44" s="8">
        <v>0.05</v>
      </c>
      <c r="E44" s="13">
        <f t="shared" si="3"/>
        <v>1.038022623411905E-08</v>
      </c>
      <c r="F44" s="59">
        <f t="shared" si="4"/>
        <v>0.9454231139222006</v>
      </c>
      <c r="G44" s="56">
        <f>IF(BINOMDIST(0,$A44,$C44,FALSE)&gt;$B44/2,0,BINOMDIST(Bin_L($A44,$C44,$B44/2),$A44,$D44,TRUE))+IF(BINOMDIST($A44,$A44,$C44,FALSE)&gt;$B44/2,0,1-BINOMDIST(Bin_U($A44,$C44,$B44/2)-1,A44,D44,TRUE))</f>
        <v>0.9138610632043309</v>
      </c>
      <c r="H44" s="30">
        <f t="shared" si="6"/>
        <v>20</v>
      </c>
    </row>
    <row r="45" spans="1:8" ht="13.5">
      <c r="A45" s="40">
        <v>310</v>
      </c>
      <c r="B45" s="40">
        <v>0.05</v>
      </c>
      <c r="C45" s="40">
        <v>0.1</v>
      </c>
      <c r="D45" s="16">
        <v>0.05</v>
      </c>
      <c r="E45" s="15">
        <f t="shared" si="3"/>
        <v>6.057456536368022E-09</v>
      </c>
      <c r="F45" s="60">
        <f t="shared" si="4"/>
        <v>0.9599924445630831</v>
      </c>
      <c r="G45" s="57">
        <f>IF(BINOMDIST(0,$A45,$C45,FALSE)&gt;$B45/2,0,BINOMDIST(Bin_L($A45,$C45,$B45/2),$A45,$D45,TRUE))+IF(BINOMDIST($A45,$A45,$C45,FALSE)&gt;$B45/2,0,1-BINOMDIST(Bin_U($A45,$C45,$B45/2)-1,A45,D45,TRUE))</f>
        <v>0.900002414436771</v>
      </c>
      <c r="H45">
        <f t="shared" si="6"/>
        <v>20</v>
      </c>
    </row>
    <row r="46" spans="5:7" ht="13.5">
      <c r="E46" s="1"/>
      <c r="F46" s="1"/>
      <c r="G46" s="139"/>
    </row>
    <row r="47" spans="1:7" ht="13.5">
      <c r="A47" s="19"/>
      <c r="B47" s="19"/>
      <c r="C47" s="19"/>
      <c r="D47" s="19"/>
      <c r="E47" s="19"/>
      <c r="F47" s="19"/>
      <c r="G47" s="19"/>
    </row>
    <row r="48" spans="1:3" ht="13.5">
      <c r="A48" t="s">
        <v>363</v>
      </c>
      <c r="C48" t="s">
        <v>426</v>
      </c>
    </row>
    <row r="49" spans="1:6" ht="13.5">
      <c r="A49" s="39"/>
      <c r="B49" s="39"/>
      <c r="C49" s="39"/>
      <c r="D49" s="5"/>
      <c r="E49" s="163" t="s">
        <v>64</v>
      </c>
      <c r="F49" s="161"/>
    </row>
    <row r="50" spans="1:6" ht="13.5">
      <c r="A50" s="4" t="s">
        <v>5</v>
      </c>
      <c r="B50" s="4" t="s">
        <v>67</v>
      </c>
      <c r="C50" s="4" t="s">
        <v>312</v>
      </c>
      <c r="D50" s="6" t="s">
        <v>68</v>
      </c>
      <c r="E50" s="4" t="s">
        <v>58</v>
      </c>
      <c r="F50" s="4" t="s">
        <v>29</v>
      </c>
    </row>
    <row r="51" spans="1:10" ht="13.5">
      <c r="A51" s="38">
        <v>10</v>
      </c>
      <c r="B51" s="38">
        <v>0.05</v>
      </c>
      <c r="C51" s="38">
        <v>16</v>
      </c>
      <c r="D51" s="9">
        <v>0.8</v>
      </c>
      <c r="E51" s="10">
        <f>NTDIST(TINV($B51*2,$A51-2),$A51-2,SQRT($C51)*$D51)</f>
        <v>0.897783169153783</v>
      </c>
      <c r="F51" s="140">
        <f>NTDIST(TINV($B51,$A51-2),$A51-2,SQRT($C51)*$D51)+1-NTDIST(-TINV($B51,$A51-2),$A51-2,SQRT($C51)*$D51)</f>
        <v>0.7997775945640939</v>
      </c>
      <c r="I51" t="s">
        <v>313</v>
      </c>
      <c r="J51">
        <v>0.799</v>
      </c>
    </row>
    <row r="52" spans="1:10" ht="13.5">
      <c r="A52" s="30"/>
      <c r="B52" s="30"/>
      <c r="C52" s="30"/>
      <c r="D52" s="30"/>
      <c r="E52" s="56"/>
      <c r="F52" s="13"/>
      <c r="G52" s="30"/>
      <c r="I52" s="30"/>
      <c r="J52" s="30"/>
    </row>
    <row r="53" spans="1:10" ht="13.5">
      <c r="A53" s="30" t="s">
        <v>314</v>
      </c>
      <c r="B53" s="116" t="s">
        <v>315</v>
      </c>
      <c r="C53" s="30"/>
      <c r="D53" s="30"/>
      <c r="E53" s="56"/>
      <c r="F53" s="13"/>
      <c r="G53" s="30"/>
      <c r="I53" s="30"/>
      <c r="J53" s="30"/>
    </row>
    <row r="54" spans="1:6" ht="13.5">
      <c r="A54" t="s">
        <v>290</v>
      </c>
      <c r="B54" s="35" t="s">
        <v>316</v>
      </c>
      <c r="E54" s="137"/>
      <c r="F54" s="1"/>
    </row>
    <row r="55" spans="2:6" ht="13.5">
      <c r="B55" s="35" t="s">
        <v>386</v>
      </c>
      <c r="E55" s="137"/>
      <c r="F55" s="1"/>
    </row>
    <row r="56" spans="5:6" ht="13.5">
      <c r="E56" s="137"/>
      <c r="F56" s="1"/>
    </row>
    <row r="57" spans="1:6" ht="13.5">
      <c r="A57" s="39"/>
      <c r="B57" s="39"/>
      <c r="C57" s="39"/>
      <c r="D57" s="5"/>
      <c r="E57" s="163" t="s">
        <v>64</v>
      </c>
      <c r="F57" s="161"/>
    </row>
    <row r="58" spans="1:6" ht="13.5">
      <c r="A58" s="4" t="s">
        <v>5</v>
      </c>
      <c r="B58" s="4" t="s">
        <v>67</v>
      </c>
      <c r="C58" s="4" t="s">
        <v>312</v>
      </c>
      <c r="D58" s="6" t="s">
        <v>68</v>
      </c>
      <c r="E58" s="4" t="s">
        <v>58</v>
      </c>
      <c r="F58" s="4" t="s">
        <v>29</v>
      </c>
    </row>
    <row r="59" spans="1:9" ht="13.5">
      <c r="A59" s="39">
        <v>10</v>
      </c>
      <c r="B59" s="39">
        <v>0.05</v>
      </c>
      <c r="C59" s="155">
        <v>10</v>
      </c>
      <c r="D59" s="5">
        <v>0.8</v>
      </c>
      <c r="E59" s="12">
        <f>[0]!NTDIST(TINV($B59*2,$A59-2),$A59-2,SQRT($C59)*$D59)</f>
        <v>0.7464330221468103</v>
      </c>
      <c r="F59" s="55">
        <f>[0]!NTDIST(TINV($B59,$A59-2),$A59-2,SQRT($C59)*$D59)</f>
        <v>0.6030723988846787</v>
      </c>
      <c r="I59" t="s">
        <v>387</v>
      </c>
    </row>
    <row r="60" spans="1:10" ht="13.5">
      <c r="A60" s="40">
        <v>10</v>
      </c>
      <c r="B60" s="40">
        <v>0.05</v>
      </c>
      <c r="C60" s="156">
        <v>21.526057339626885</v>
      </c>
      <c r="D60" s="16">
        <v>0.8</v>
      </c>
      <c r="E60" s="15">
        <f>[0]!NTDIST(TINV($B60*2,$A60-2),$A60-2,SQRT($C60)*$D60)</f>
        <v>0.9581791688903926</v>
      </c>
      <c r="F60" s="57">
        <f>[0]!NTDIST(TINV($B60,$A60-2),$A60-2,SQRT($C60)*$D60)</f>
        <v>0.8998878592025915</v>
      </c>
      <c r="I60" t="s">
        <v>317</v>
      </c>
      <c r="J60">
        <v>21.61</v>
      </c>
    </row>
    <row r="61" spans="1:9" ht="13.5">
      <c r="A61" s="152">
        <v>13</v>
      </c>
      <c r="B61">
        <v>0.05</v>
      </c>
      <c r="C61" s="23">
        <f>A61*(A61+1)/(12*(A61-1))*G61^2</f>
        <v>20.22222222222222</v>
      </c>
      <c r="D61" s="8">
        <v>0.8</v>
      </c>
      <c r="E61" s="13">
        <f>[0]!NTDIST(TINV($B61*2,$A61-2),$A61-2,SQRT($C61)*$D61)</f>
        <v>0.9572402775123113</v>
      </c>
      <c r="F61" s="13">
        <f>[0]!NTDIST(TINV($B61,$A61-2),$A61-2,SQRT($C61)*$D61)</f>
        <v>0.9048638789306606</v>
      </c>
      <c r="G61">
        <v>4</v>
      </c>
      <c r="H61" s="154" t="s">
        <v>158</v>
      </c>
      <c r="I61" t="s">
        <v>382</v>
      </c>
    </row>
    <row r="62" spans="1:9" ht="13.5">
      <c r="A62" s="152">
        <v>9</v>
      </c>
      <c r="B62" s="30">
        <v>0.05</v>
      </c>
      <c r="C62" s="153">
        <f>G62^2/6*A62</f>
        <v>24</v>
      </c>
      <c r="D62" s="30">
        <v>0.8</v>
      </c>
      <c r="E62" s="13">
        <f>[0]!NTDIST(TINV($B62*2,$A62-2),$A62-2,SQRT($C62)*$D62)</f>
        <v>0.9687052277939888</v>
      </c>
      <c r="F62" s="13">
        <f>[0]!NTDIST(TINV($B62,$A62-2),$A62-2,SQRT($C62)*$D62)</f>
        <v>0.9169720528466669</v>
      </c>
      <c r="G62" s="30">
        <v>4</v>
      </c>
      <c r="H62" s="154" t="s">
        <v>158</v>
      </c>
      <c r="I62" t="s">
        <v>383</v>
      </c>
    </row>
    <row r="63" spans="1:9" ht="13.5">
      <c r="A63" s="152">
        <v>14</v>
      </c>
      <c r="B63" s="30">
        <v>0.05</v>
      </c>
      <c r="C63" s="153">
        <f>A63*G63^2</f>
        <v>20.16</v>
      </c>
      <c r="D63" s="30">
        <v>0.8</v>
      </c>
      <c r="E63" s="13">
        <f>[0]!NTDIST(TINV($B63*2,$A63-2),$A63-2,SQRT($C63)*$D63)</f>
        <v>0.9585901070799774</v>
      </c>
      <c r="F63" s="13">
        <f>[0]!NTDIST(TINV($B63,$A63-2),$A63-2,SQRT($C63)*$D63)</f>
        <v>0.9087004535639107</v>
      </c>
      <c r="G63" s="30">
        <v>1.2</v>
      </c>
      <c r="H63" s="111" t="s">
        <v>384</v>
      </c>
      <c r="I63" t="s">
        <v>385</v>
      </c>
    </row>
    <row r="64" spans="1:7" ht="13.5">
      <c r="A64" s="30"/>
      <c r="B64" s="30"/>
      <c r="C64" s="30"/>
      <c r="D64" s="30"/>
      <c r="E64" s="30"/>
      <c r="F64" s="30"/>
      <c r="G64" s="30"/>
    </row>
    <row r="65" spans="2:5" ht="13.5">
      <c r="B65" s="17"/>
      <c r="C65" s="17"/>
      <c r="D65" s="17"/>
      <c r="E65" s="17"/>
    </row>
    <row r="66" spans="1:6" ht="13.5">
      <c r="A66">
        <v>10</v>
      </c>
      <c r="B66">
        <v>0.05</v>
      </c>
      <c r="C66" s="151">
        <v>21.526057339626885</v>
      </c>
      <c r="D66" s="8">
        <v>0.8</v>
      </c>
      <c r="E66" s="1">
        <f>[0]!NTDIST(TINV($B66*2,$A66-2),$A66-2,SQRT($C66)*$D66)</f>
        <v>0.9581791688903926</v>
      </c>
      <c r="F66" s="1">
        <f>[0]!NTDIST(TINV($B66,$A66-2),$A66-2,SQRT($C66)*$D66)</f>
        <v>0.8998878592025915</v>
      </c>
    </row>
    <row r="67" spans="1:7" ht="13.5">
      <c r="A67">
        <v>12</v>
      </c>
      <c r="B67">
        <v>0.05</v>
      </c>
      <c r="C67" s="151">
        <v>20.297798091719017</v>
      </c>
      <c r="D67" s="8">
        <v>0.8</v>
      </c>
      <c r="E67" s="1">
        <f>[0]!NTDIST(TINV($B67*2,$A67-2),$A67-2,SQRT($C67)*$D67)</f>
        <v>0.9555566148962528</v>
      </c>
      <c r="F67" s="1">
        <f>[0]!NTDIST(TINV($B67,$A67-2),$A67-2,SQRT($C67)*$D67)</f>
        <v>0.9000773914001002</v>
      </c>
      <c r="G67" s="3"/>
    </row>
    <row r="68" spans="1:7" ht="13.5">
      <c r="A68">
        <v>14</v>
      </c>
      <c r="B68">
        <v>0.05</v>
      </c>
      <c r="C68" s="151">
        <v>21.526057339626885</v>
      </c>
      <c r="D68" s="8">
        <v>0.8</v>
      </c>
      <c r="E68" s="1">
        <f>[0]!NTDIST(TINV($B68*2,$A68-2),$A68-2,SQRT($C68)*$D68)</f>
        <v>0.9675996579639411</v>
      </c>
      <c r="F68" s="1">
        <f>[0]!NTDIST(TINV($B68,$A68-2),$A68-2,SQRT($C68)*$D68)</f>
        <v>0.9253008373801629</v>
      </c>
      <c r="G68" s="1"/>
    </row>
    <row r="69" spans="1:6" ht="13.5">
      <c r="A69">
        <v>16</v>
      </c>
      <c r="B69">
        <v>0.05</v>
      </c>
      <c r="C69" s="151">
        <v>21.526057339626885</v>
      </c>
      <c r="D69" s="8">
        <v>0.8</v>
      </c>
      <c r="E69" s="1">
        <f>[0]!NTDIST(TINV($B69*2,$A69-2),$A69-2,SQRT($C69)*$D69)</f>
        <v>0.9698974976154203</v>
      </c>
      <c r="F69" s="1">
        <f>[0]!NTDIST(TINV($B69,$A69-2),$A69-2,SQRT($C69)*$D69)</f>
        <v>0.9315158425311721</v>
      </c>
    </row>
    <row r="70" spans="1:6" ht="13.5">
      <c r="A70">
        <v>18</v>
      </c>
      <c r="B70">
        <v>0.05</v>
      </c>
      <c r="C70" s="151">
        <v>21.526057339626885</v>
      </c>
      <c r="D70" s="8">
        <v>0.8</v>
      </c>
      <c r="E70" s="1">
        <f>[0]!NTDIST(TINV($B70*2,$A70-2),$A70-2,SQRT($C70)*$D70)</f>
        <v>0.9715155518809527</v>
      </c>
      <c r="F70" s="1">
        <f>[0]!NTDIST(TINV($B70,$A70-2),$A70-2,SQRT($C70)*$D70)</f>
        <v>0.9358855293040774</v>
      </c>
    </row>
    <row r="71" spans="1:6" ht="13.5">
      <c r="A71">
        <v>20</v>
      </c>
      <c r="B71">
        <v>0.05</v>
      </c>
      <c r="C71" s="151">
        <v>18.386709998088474</v>
      </c>
      <c r="D71" s="8">
        <v>0.8</v>
      </c>
      <c r="E71" s="1">
        <f>[0]!NTDIST(TINV($B71*2,$A71-2),$A71-2,SQRT($C71)*$D71)</f>
        <v>0.9507787006432266</v>
      </c>
      <c r="F71" s="1">
        <f>[0]!NTDIST(TINV($B71,$A71-2),$A71-2,SQRT($C71)*$D71)</f>
        <v>0.9001546684852014</v>
      </c>
    </row>
    <row r="72" spans="1:6" ht="13.5">
      <c r="A72">
        <v>22</v>
      </c>
      <c r="B72">
        <v>0.05</v>
      </c>
      <c r="C72" s="151">
        <v>21.526057339626885</v>
      </c>
      <c r="D72" s="8">
        <v>0.8</v>
      </c>
      <c r="E72" s="1">
        <f>[0]!NTDIST(TINV($B72*2,$A72-2),$A72-2,SQRT($C72)*$D72)</f>
        <v>0.9736369585637991</v>
      </c>
      <c r="F72" s="1">
        <f>[0]!NTDIST(TINV($B72,$A72-2),$A72-2,SQRT($C72)*$D72)</f>
        <v>0.9415955487626356</v>
      </c>
    </row>
    <row r="73" spans="1:6" ht="13.5">
      <c r="A73">
        <v>24</v>
      </c>
      <c r="B73">
        <v>0.05</v>
      </c>
      <c r="C73" s="151">
        <v>21.526057339626885</v>
      </c>
      <c r="D73" s="8">
        <v>0.8</v>
      </c>
      <c r="E73" s="1">
        <f>[0]!NTDIST(TINV($B73*2,$A73-2),$A73-2,SQRT($C73)*$D73)</f>
        <v>0.9743683641314748</v>
      </c>
      <c r="F73" s="1">
        <f>[0]!NTDIST(TINV($B73,$A73-2),$A73-2,SQRT($C73)*$D73)</f>
        <v>0.9435571137695585</v>
      </c>
    </row>
    <row r="74" spans="1:6" ht="13.5">
      <c r="A74">
        <v>26</v>
      </c>
      <c r="B74">
        <v>0.05</v>
      </c>
      <c r="C74" s="151">
        <v>17.882888964077335</v>
      </c>
      <c r="D74" s="8">
        <v>0.8</v>
      </c>
      <c r="E74" s="1">
        <f>[0]!NTDIST(TINV($B74*2,$A74-2),$A74-2,SQRT($C74)*$D74)</f>
        <v>0.9495541147366198</v>
      </c>
      <c r="F74" s="1">
        <f>[0]!NTDIST(TINV($B74,$A74-2),$A74-2,SQRT($C74)*$D74)</f>
        <v>0.9005914794304715</v>
      </c>
    </row>
  </sheetData>
  <mergeCells count="5">
    <mergeCell ref="Q2:R2"/>
    <mergeCell ref="E57:F57"/>
    <mergeCell ref="E49:F49"/>
    <mergeCell ref="E2:G2"/>
    <mergeCell ref="E25:G25"/>
  </mergeCells>
  <conditionalFormatting sqref="N19:P38 Q10:R14 Q4:R8">
    <cfRule type="cellIs" priority="1" dxfId="0" operator="lessThan" stopIfTrue="1">
      <formula>$N$6</formula>
    </cfRule>
  </conditionalFormatting>
  <printOptions/>
  <pageMargins left="0.75" right="0.75" top="1" bottom="1" header="0.512" footer="0.512"/>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Sheet13"/>
  <dimension ref="A1:N42"/>
  <sheetViews>
    <sheetView zoomScale="75" zoomScaleNormal="75" workbookViewId="0" topLeftCell="A13">
      <selection activeCell="K40" sqref="K40"/>
    </sheetView>
  </sheetViews>
  <sheetFormatPr defaultColWidth="8.796875" defaultRowHeight="14.25"/>
  <cols>
    <col min="1" max="1" width="7.19921875" style="0" customWidth="1"/>
    <col min="2" max="3" width="6.3984375" style="0" customWidth="1"/>
    <col min="4" max="4" width="10.3984375" style="0" customWidth="1"/>
    <col min="6" max="6" width="13.69921875" style="0" customWidth="1"/>
    <col min="7" max="7" width="4" style="0" customWidth="1"/>
    <col min="8" max="8" width="23" style="0" customWidth="1"/>
    <col min="9" max="9" width="4.69921875" style="0" customWidth="1"/>
    <col min="10" max="10" width="9.09765625" style="0" bestFit="1" customWidth="1"/>
    <col min="11" max="11" width="13.3984375" style="0" bestFit="1" customWidth="1"/>
    <col min="12" max="12" width="9.59765625" style="0" bestFit="1" customWidth="1"/>
    <col min="13" max="14" width="9.09765625" style="0" bestFit="1" customWidth="1"/>
  </cols>
  <sheetData>
    <row r="1" spans="1:2" ht="13.5">
      <c r="A1" t="s">
        <v>333</v>
      </c>
      <c r="B1" t="s">
        <v>388</v>
      </c>
    </row>
    <row r="2" spans="1:11" ht="14.25">
      <c r="A2" s="42" t="s">
        <v>334</v>
      </c>
      <c r="B2" s="42" t="s">
        <v>335</v>
      </c>
      <c r="C2" s="42" t="s">
        <v>336</v>
      </c>
      <c r="D2" s="42" t="s">
        <v>322</v>
      </c>
      <c r="J2" s="3" t="s">
        <v>5</v>
      </c>
      <c r="K2" s="3" t="s">
        <v>67</v>
      </c>
    </row>
    <row r="3" spans="1:14" ht="14.25">
      <c r="A3" s="38">
        <v>7</v>
      </c>
      <c r="B3" s="38">
        <v>0.05</v>
      </c>
      <c r="C3" s="38">
        <v>2</v>
      </c>
      <c r="D3" s="112">
        <f>2*NORMSINV(1-B3/2)*C3/SQRT(A3)</f>
        <v>2.963182630391692</v>
      </c>
      <c r="F3" t="s">
        <v>323</v>
      </c>
      <c r="G3">
        <v>7</v>
      </c>
      <c r="K3">
        <v>0.05</v>
      </c>
      <c r="L3">
        <v>0.01</v>
      </c>
      <c r="M3">
        <v>0.05</v>
      </c>
      <c r="N3">
        <v>0.01</v>
      </c>
    </row>
    <row r="4" spans="10:12" ht="13.5">
      <c r="J4">
        <v>5</v>
      </c>
      <c r="K4" s="2">
        <f>SQRT(CHIINV(K$3/2,$J4-1)/CHIINV(1-K$3/2,$J4-1))</f>
        <v>4.796181336452576</v>
      </c>
      <c r="L4" s="2">
        <f>SQRT(CHIINV(L$3/2,$J4-1)/CHIINV(1-L$3/2,$J4-1))</f>
        <v>8.473129086915609</v>
      </c>
    </row>
    <row r="5" spans="1:12" ht="13.5">
      <c r="A5" t="s">
        <v>337</v>
      </c>
      <c r="B5" s="35" t="s">
        <v>338</v>
      </c>
      <c r="J5">
        <v>7</v>
      </c>
      <c r="K5" s="2">
        <f aca="true" t="shared" si="0" ref="K5:N12">SQRT(CHIINV(K$3/2,$J5-1)/CHIINV(1-K$3/2,$J5-1))</f>
        <v>3.4172705748024743</v>
      </c>
      <c r="L5" s="2">
        <f t="shared" si="0"/>
        <v>5.2390815728184785</v>
      </c>
    </row>
    <row r="6" spans="2:13" ht="13.5">
      <c r="B6" s="35"/>
      <c r="J6">
        <v>10</v>
      </c>
      <c r="K6" s="2">
        <f t="shared" si="0"/>
        <v>2.6541399716008423</v>
      </c>
      <c r="L6" s="2">
        <f t="shared" si="0"/>
        <v>3.6873863722602</v>
      </c>
      <c r="M6" s="2"/>
    </row>
    <row r="7" spans="2:14" ht="13.5">
      <c r="B7" s="35"/>
      <c r="J7">
        <v>14</v>
      </c>
      <c r="K7" s="2">
        <f t="shared" si="0"/>
        <v>2.222270480223857</v>
      </c>
      <c r="L7" s="2">
        <f t="shared" si="0"/>
        <v>2.892121467109528</v>
      </c>
      <c r="M7" s="2">
        <f>SQRT(CHIINV(M$3/2,$J7-1)/CHIINV(1-M$3/2,$J7-1))</f>
        <v>2.222270480223857</v>
      </c>
      <c r="N7" s="2"/>
    </row>
    <row r="8" spans="1:14" ht="13.5">
      <c r="A8" t="s">
        <v>339</v>
      </c>
      <c r="B8" t="s">
        <v>389</v>
      </c>
      <c r="J8">
        <v>20</v>
      </c>
      <c r="K8" s="2">
        <f t="shared" si="0"/>
        <v>1.9205660502637452</v>
      </c>
      <c r="L8" s="2">
        <f t="shared" si="0"/>
        <v>2.3743267704194904</v>
      </c>
      <c r="M8" s="2">
        <f>SQRT(CHIINV(M$3/2,$J8-1)/CHIINV(1-M$3/2,$J8-1))</f>
        <v>1.9205660502637452</v>
      </c>
      <c r="N8" s="2">
        <f>SQRT(CHIINV(N$3/2,$J8-1)/CHIINV(1-N$3/2,$J8-1))</f>
        <v>2.3743267704194904</v>
      </c>
    </row>
    <row r="9" spans="1:14" ht="14.25">
      <c r="A9" s="26" t="s">
        <v>340</v>
      </c>
      <c r="B9" s="26" t="s">
        <v>341</v>
      </c>
      <c r="C9" s="38"/>
      <c r="D9" s="26" t="s">
        <v>325</v>
      </c>
      <c r="J9">
        <v>28</v>
      </c>
      <c r="K9" s="2">
        <f t="shared" si="0"/>
        <v>1.7216080633720685</v>
      </c>
      <c r="L9" s="2">
        <f t="shared" si="0"/>
        <v>2.0504825871843804</v>
      </c>
      <c r="M9" s="2">
        <f t="shared" si="0"/>
        <v>1.7216080633720685</v>
      </c>
      <c r="N9" s="2">
        <f t="shared" si="0"/>
        <v>2.0504825871843804</v>
      </c>
    </row>
    <row r="10" spans="1:14" ht="14.25">
      <c r="A10" s="40">
        <v>28</v>
      </c>
      <c r="B10" s="40">
        <v>0.05</v>
      </c>
      <c r="C10" s="40"/>
      <c r="D10" s="70">
        <f>CHIINV(B10/2,A10-1)/CHIINV(1-B10/2,A10-1)</f>
        <v>2.9639343238677243</v>
      </c>
      <c r="F10" t="s">
        <v>326</v>
      </c>
      <c r="G10">
        <v>28</v>
      </c>
      <c r="J10">
        <v>40</v>
      </c>
      <c r="K10" s="2">
        <f t="shared" si="0"/>
        <v>1.5675014535336984</v>
      </c>
      <c r="L10" s="2">
        <f t="shared" si="0"/>
        <v>1.8095439623240992</v>
      </c>
      <c r="M10" s="2">
        <f t="shared" si="0"/>
        <v>1.5675014535336984</v>
      </c>
      <c r="N10" s="2">
        <f t="shared" si="0"/>
        <v>1.8095439623240992</v>
      </c>
    </row>
    <row r="11" spans="10:14" ht="13.5">
      <c r="J11">
        <v>56</v>
      </c>
      <c r="K11" s="2"/>
      <c r="L11" s="2"/>
      <c r="M11" s="2">
        <f t="shared" si="0"/>
        <v>1.4580625320140232</v>
      </c>
      <c r="N11" s="2">
        <f t="shared" si="0"/>
        <v>1.6437893030709603</v>
      </c>
    </row>
    <row r="12" spans="1:14" ht="13.5">
      <c r="A12" t="s">
        <v>342</v>
      </c>
      <c r="B12" s="35" t="s">
        <v>343</v>
      </c>
      <c r="J12">
        <v>80</v>
      </c>
      <c r="K12" s="2"/>
      <c r="L12" s="2"/>
      <c r="M12" s="2">
        <f t="shared" si="0"/>
        <v>1.3686159124890604</v>
      </c>
      <c r="N12" s="2">
        <f t="shared" si="0"/>
        <v>1.5116690940616457</v>
      </c>
    </row>
    <row r="13" spans="10:14" ht="13.5">
      <c r="J13">
        <v>100</v>
      </c>
      <c r="K13" s="2"/>
      <c r="L13" s="2"/>
      <c r="M13" s="2">
        <f>SQRT(CHIINV(M$3/2,$J13-1)/CHIINV(1-M$3/2,$J13-1))</f>
        <v>1.3230816989203829</v>
      </c>
      <c r="N13" s="2">
        <f>SQRT(CHIINV(N$3/2,$J13-1)/CHIINV(1-N$3/2,$J13-1))</f>
        <v>1.4455855335632668</v>
      </c>
    </row>
    <row r="15" spans="1:11" ht="13.5">
      <c r="A15" t="s">
        <v>344</v>
      </c>
      <c r="B15" t="s">
        <v>390</v>
      </c>
      <c r="J15" s="3" t="s">
        <v>394</v>
      </c>
      <c r="K15" s="3" t="s">
        <v>395</v>
      </c>
    </row>
    <row r="16" spans="1:11" ht="14.25">
      <c r="A16" s="26" t="s">
        <v>340</v>
      </c>
      <c r="B16" s="26" t="s">
        <v>341</v>
      </c>
      <c r="C16" s="26" t="s">
        <v>345</v>
      </c>
      <c r="D16" s="26" t="s">
        <v>322</v>
      </c>
      <c r="J16">
        <v>1</v>
      </c>
      <c r="K16" s="17">
        <f>SQRT(2/J16)*EXP(GAMMALN((J16+1)/2)-GAMMALN(J16/2))</f>
        <v>0.7978845607178168</v>
      </c>
    </row>
    <row r="17" spans="1:11" ht="14.25">
      <c r="A17" s="38">
        <v>9</v>
      </c>
      <c r="B17" s="38">
        <v>0.05</v>
      </c>
      <c r="C17" s="38">
        <v>2</v>
      </c>
      <c r="D17" s="112">
        <f>2*TINV(B17,A17-1)*C17/SQRT(A17)*SQRT(2/(A17-1))*EXP(GAMMALN((A17)/2)-GAMMALN((A17-1)/2))</f>
        <v>2.9803145697288596</v>
      </c>
      <c r="F17" t="s">
        <v>328</v>
      </c>
      <c r="G17" s="134">
        <v>9</v>
      </c>
      <c r="J17">
        <v>2</v>
      </c>
      <c r="K17" s="17">
        <f>SQRT(2/J17)*EXP(GAMMALN((J17+1)/2)-GAMMALN(J17/2))</f>
        <v>0.8862269254322322</v>
      </c>
    </row>
    <row r="18" spans="10:11" ht="13.5">
      <c r="J18">
        <v>3</v>
      </c>
      <c r="K18" s="17">
        <f>SQRT(2/J18)*EXP(GAMMALN((J18+1)/2)-GAMMALN(J18/2))</f>
        <v>0.9213177319043139</v>
      </c>
    </row>
    <row r="19" spans="1:11" ht="13.5">
      <c r="A19" t="s">
        <v>346</v>
      </c>
      <c r="B19" s="35" t="s">
        <v>347</v>
      </c>
      <c r="J19">
        <v>4</v>
      </c>
      <c r="K19" s="17">
        <f>SQRT(2/J19)*EXP(GAMMALN((J19+1)/2)-GAMMALN(J19/2))</f>
        <v>0.9399856029693655</v>
      </c>
    </row>
    <row r="20" spans="2:11" ht="13.5">
      <c r="B20" s="35" t="s">
        <v>403</v>
      </c>
      <c r="J20">
        <v>100</v>
      </c>
      <c r="K20" s="17">
        <f>SQRT(2/J20)*EXP(GAMMALN((J20+1)/2)-GAMMALN(J20/2))</f>
        <v>0.9975031639559577</v>
      </c>
    </row>
    <row r="21" spans="10:11" ht="13.5">
      <c r="J21" s="3" t="s">
        <v>396</v>
      </c>
      <c r="K21" s="35" t="s">
        <v>397</v>
      </c>
    </row>
    <row r="22" spans="1:2" ht="13.5">
      <c r="A22" t="s">
        <v>348</v>
      </c>
      <c r="B22" t="s">
        <v>391</v>
      </c>
    </row>
    <row r="23" spans="1:11" ht="14.25">
      <c r="A23" s="26" t="s">
        <v>340</v>
      </c>
      <c r="B23" s="26" t="s">
        <v>341</v>
      </c>
      <c r="C23" s="26"/>
      <c r="D23" s="26" t="s">
        <v>325</v>
      </c>
      <c r="J23" s="3" t="s">
        <v>5</v>
      </c>
      <c r="K23" s="3" t="s">
        <v>67</v>
      </c>
    </row>
    <row r="24" spans="1:14" ht="14.25">
      <c r="A24" s="38">
        <v>15</v>
      </c>
      <c r="B24" s="38">
        <v>0.05</v>
      </c>
      <c r="C24" s="38"/>
      <c r="D24" s="112">
        <f>FINV(B24/2,A24-1,A24-1)/FINV(1-B24/2,A24-1,A24-1)</f>
        <v>8.872004613781025</v>
      </c>
      <c r="F24" t="s">
        <v>330</v>
      </c>
      <c r="G24">
        <v>15</v>
      </c>
      <c r="K24">
        <v>0.05</v>
      </c>
      <c r="L24">
        <v>0.01</v>
      </c>
      <c r="M24">
        <v>0.05</v>
      </c>
      <c r="N24">
        <v>0.01</v>
      </c>
    </row>
    <row r="25" spans="10:12" ht="13.5">
      <c r="J25">
        <v>5</v>
      </c>
      <c r="K25" s="2">
        <f>SQRT(FINV(K$3/2,$J25-1,$J25-1)/FINV(1-K$3/2,$J25-1,$J25-1))</f>
        <v>9.604507611604316</v>
      </c>
      <c r="L25" s="2">
        <f>SQRT(FINV(L$3/2,$J25-1,$J25-1)/FINV(1-L$3/2,$J25-1,$J25-1))</f>
        <v>23.154573083713775</v>
      </c>
    </row>
    <row r="26" spans="1:12" ht="13.5">
      <c r="A26" t="s">
        <v>349</v>
      </c>
      <c r="B26" s="35" t="s">
        <v>398</v>
      </c>
      <c r="J26">
        <v>7</v>
      </c>
      <c r="K26" s="2">
        <f aca="true" t="shared" si="1" ref="K26:N34">SQRT(FINV(K$3/2,$J26-1,$J26-1)/FINV(1-K$3/2,$J26-1,$J26-1))</f>
        <v>5.819744987800214</v>
      </c>
      <c r="L26" s="2">
        <f t="shared" si="1"/>
        <v>11.073035556871705</v>
      </c>
    </row>
    <row r="27" spans="2:13" ht="13.5">
      <c r="B27" s="35"/>
      <c r="J27">
        <v>10</v>
      </c>
      <c r="K27" s="2">
        <f t="shared" si="1"/>
        <v>4.025990268774317</v>
      </c>
      <c r="L27" s="2">
        <f t="shared" si="1"/>
        <v>6.541073909530634</v>
      </c>
      <c r="M27" s="2"/>
    </row>
    <row r="28" spans="10:14" ht="13.5">
      <c r="J28">
        <v>14</v>
      </c>
      <c r="K28" s="2">
        <f t="shared" si="1"/>
        <v>3.1150365736610035</v>
      </c>
      <c r="L28" s="2">
        <f t="shared" si="1"/>
        <v>4.573269968663345</v>
      </c>
      <c r="M28" s="2">
        <f t="shared" si="1"/>
        <v>3.1150365736610035</v>
      </c>
      <c r="N28" s="2">
        <f t="shared" si="1"/>
        <v>4.573269968663345</v>
      </c>
    </row>
    <row r="29" spans="1:14" ht="13.5">
      <c r="A29" t="s">
        <v>350</v>
      </c>
      <c r="B29" t="s">
        <v>392</v>
      </c>
      <c r="J29">
        <v>20</v>
      </c>
      <c r="K29" s="2">
        <f t="shared" si="1"/>
        <v>2.5264521348934434</v>
      </c>
      <c r="L29" s="2">
        <f t="shared" si="1"/>
        <v>3.431767764969639</v>
      </c>
      <c r="M29" s="2">
        <f t="shared" si="1"/>
        <v>2.5264521348934434</v>
      </c>
      <c r="N29" s="2">
        <f t="shared" si="1"/>
        <v>3.431767764969639</v>
      </c>
    </row>
    <row r="30" spans="1:14" ht="14.25">
      <c r="A30" s="3" t="s">
        <v>340</v>
      </c>
      <c r="B30" s="3" t="s">
        <v>341</v>
      </c>
      <c r="C30" s="3" t="s">
        <v>345</v>
      </c>
      <c r="D30" s="3" t="s">
        <v>322</v>
      </c>
      <c r="J30">
        <v>28</v>
      </c>
      <c r="K30" s="2">
        <f t="shared" si="1"/>
        <v>2.16094512048208</v>
      </c>
      <c r="L30" s="2">
        <f t="shared" si="1"/>
        <v>2.7772004557003367</v>
      </c>
      <c r="M30" s="2">
        <f t="shared" si="1"/>
        <v>2.16094512048208</v>
      </c>
      <c r="N30" s="2">
        <f t="shared" si="1"/>
        <v>2.7772004557003367</v>
      </c>
    </row>
    <row r="31" spans="1:14" ht="14.25">
      <c r="A31">
        <v>9</v>
      </c>
      <c r="B31">
        <v>0.05</v>
      </c>
      <c r="C31">
        <v>1</v>
      </c>
      <c r="D31" s="2">
        <f>2*TINV(B31,2*(A31-1))*C31/SQRT(A31/2)*SQRT(2/(2*(A31-1)))*EXP(GAMMALN((2*(A31-1)+1)/2)-GAMMALN((2*(A31-1))/2))</f>
        <v>1.9676989203216988</v>
      </c>
      <c r="F31" t="s">
        <v>331</v>
      </c>
      <c r="G31">
        <v>9</v>
      </c>
      <c r="J31">
        <v>40</v>
      </c>
      <c r="K31" s="2">
        <f t="shared" si="1"/>
        <v>1.8907183685763085</v>
      </c>
      <c r="L31" s="2">
        <f t="shared" si="1"/>
        <v>2.321288111962457</v>
      </c>
      <c r="M31" s="2">
        <f t="shared" si="1"/>
        <v>1.8907183685763085</v>
      </c>
      <c r="N31" s="2">
        <f t="shared" si="1"/>
        <v>2.321288111962457</v>
      </c>
    </row>
    <row r="32" spans="10:14" ht="13.5">
      <c r="J32">
        <v>56</v>
      </c>
      <c r="K32" s="2"/>
      <c r="L32" s="2"/>
      <c r="M32" s="2">
        <f t="shared" si="1"/>
        <v>1.7058780196196603</v>
      </c>
      <c r="N32" s="2">
        <f t="shared" si="1"/>
        <v>2.0235997631968625</v>
      </c>
    </row>
    <row r="33" spans="1:14" ht="13.5">
      <c r="A33" t="s">
        <v>351</v>
      </c>
      <c r="B33" s="35" t="s">
        <v>352</v>
      </c>
      <c r="J33">
        <v>80</v>
      </c>
      <c r="K33" s="2"/>
      <c r="L33" s="2"/>
      <c r="M33" s="2">
        <f t="shared" si="1"/>
        <v>1.5592812078562395</v>
      </c>
      <c r="N33" s="2">
        <f t="shared" si="1"/>
        <v>1.7959496509626358</v>
      </c>
    </row>
    <row r="34" spans="2:14" ht="13.5">
      <c r="B34" s="35" t="s">
        <v>399</v>
      </c>
      <c r="J34">
        <v>100</v>
      </c>
      <c r="K34" s="2"/>
      <c r="L34" s="2"/>
      <c r="M34" s="2">
        <f t="shared" si="1"/>
        <v>1.4862348101538485</v>
      </c>
      <c r="N34" s="2">
        <f t="shared" si="1"/>
        <v>1.685361267778139</v>
      </c>
    </row>
    <row r="35" ht="13.5">
      <c r="B35" s="35" t="s">
        <v>402</v>
      </c>
    </row>
    <row r="36" ht="13.5">
      <c r="B36" s="35"/>
    </row>
    <row r="37" spans="1:2" ht="13.5">
      <c r="A37" t="s">
        <v>353</v>
      </c>
      <c r="B37" t="s">
        <v>393</v>
      </c>
    </row>
    <row r="38" spans="1:4" ht="14.25">
      <c r="A38" s="3" t="s">
        <v>340</v>
      </c>
      <c r="B38" s="3" t="s">
        <v>341</v>
      </c>
      <c r="C38" s="3" t="s">
        <v>345</v>
      </c>
      <c r="D38" s="3" t="s">
        <v>322</v>
      </c>
    </row>
    <row r="39" spans="1:7" ht="14.25">
      <c r="A39">
        <v>30</v>
      </c>
      <c r="B39">
        <v>0.05</v>
      </c>
      <c r="C39">
        <v>2</v>
      </c>
      <c r="D39" s="2">
        <f>2*TINV(B39,A39-1)*C39/SQRT(A39)*SQRT(2/(A39-1))*EXP(GAMMALN((A39)/2)-GAMMALN((A39-1)/2))</f>
        <v>1.4808071487514287</v>
      </c>
      <c r="F39" t="s">
        <v>332</v>
      </c>
      <c r="G39">
        <v>30</v>
      </c>
    </row>
    <row r="41" spans="1:2" ht="13.5">
      <c r="A41" t="s">
        <v>354</v>
      </c>
      <c r="B41" s="35" t="s">
        <v>401</v>
      </c>
    </row>
    <row r="42" ht="13.5">
      <c r="B42" s="35" t="s">
        <v>400</v>
      </c>
    </row>
  </sheetData>
  <printOptions/>
  <pageMargins left="0.75" right="0.75" top="1" bottom="1" header="0.512" footer="0.512"/>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TOSHIRO HAGA</dc:creator>
  <cp:keywords/>
  <dc:description/>
  <cp:lastModifiedBy>芳賀　　敏郎</cp:lastModifiedBy>
  <cp:lastPrinted>2003-11-12T11:20:17Z</cp:lastPrinted>
  <dcterms:created xsi:type="dcterms:W3CDTF">2003-11-09T14:35:14Z</dcterms:created>
  <dcterms:modified xsi:type="dcterms:W3CDTF">2004-04-09T14:40:51Z</dcterms:modified>
  <cp:category/>
  <cp:version/>
  <cp:contentType/>
  <cp:contentStatus/>
</cp:coreProperties>
</file>